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6"/>
  <workbookPr defaultThemeVersion="166925"/>
  <mc:AlternateContent xmlns:mc="http://schemas.openxmlformats.org/markup-compatibility/2006">
    <mc:Choice Requires="x15">
      <x15ac:absPath xmlns:x15ac="http://schemas.microsoft.com/office/spreadsheetml/2010/11/ac" url="/Users/szandra/Desktop/"/>
    </mc:Choice>
  </mc:AlternateContent>
  <xr:revisionPtr revIDLastSave="0" documentId="13_ncr:1_{8A4643F8-24DB-6842-8BBB-E97CEA3A7F56}" xr6:coauthVersionLast="47" xr6:coauthVersionMax="47" xr10:uidLastSave="{00000000-0000-0000-0000-000000000000}"/>
  <bookViews>
    <workbookView xWindow="1160" yWindow="500" windowWidth="27640" windowHeight="15580" activeTab="6" xr2:uid="{93722403-B9CE-2144-AA4A-76B0ED0E0345}"/>
  </bookViews>
  <sheets>
    <sheet name="Explications" sheetId="1" r:id="rId1"/>
    <sheet name="1) Feuille d'encodage" sheetId="2" r:id="rId2"/>
    <sheet name="Moyennes et calculs" sheetId="4" state="hidden" r:id="rId3"/>
    <sheet name="2) Tableau des prix" sheetId="3" r:id="rId4"/>
    <sheet name="Tableau des prix et fréquences" sheetId="7" state="hidden" r:id="rId5"/>
    <sheet name="3) Votre résultat" sheetId="5" r:id="rId6"/>
    <sheet name="4) Synthèse" sheetId="6" r:id="rId7"/>
    <sheet name="Graphes" sheetId="8" state="hidden" r:id="rId8"/>
  </sheets>
  <externalReferences>
    <externalReference r:id="rId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4" l="1"/>
  <c r="H41" i="4"/>
  <c r="D48" i="4"/>
  <c r="D41" i="4"/>
  <c r="M68" i="7"/>
  <c r="H29" i="7"/>
  <c r="H23" i="7"/>
  <c r="N83" i="7" l="1"/>
  <c r="J135" i="7"/>
  <c r="J134" i="7"/>
  <c r="M134" i="7" s="1"/>
  <c r="M127" i="7"/>
  <c r="J119" i="7"/>
  <c r="M118" i="7"/>
  <c r="M114" i="7"/>
  <c r="M93" i="7"/>
  <c r="M97" i="7"/>
  <c r="M91" i="7"/>
  <c r="J74" i="7"/>
  <c r="M75" i="7"/>
  <c r="J76" i="7"/>
  <c r="J78" i="7"/>
  <c r="J79" i="7"/>
  <c r="M79" i="7" s="1"/>
  <c r="J81" i="7"/>
  <c r="M73" i="7"/>
  <c r="M62" i="7"/>
  <c r="J64" i="7"/>
  <c r="M66" i="7"/>
  <c r="J67" i="7"/>
  <c r="J68" i="7"/>
  <c r="M44" i="7"/>
  <c r="M48" i="7"/>
  <c r="M42" i="7"/>
  <c r="F134" i="7"/>
  <c r="F129" i="7"/>
  <c r="F127" i="7"/>
  <c r="F112" i="7"/>
  <c r="F113" i="7"/>
  <c r="F93" i="7"/>
  <c r="F94" i="7"/>
  <c r="F91" i="7"/>
  <c r="F76" i="7"/>
  <c r="F77" i="7"/>
  <c r="F81" i="7"/>
  <c r="F62" i="7"/>
  <c r="C64" i="7"/>
  <c r="F65" i="7"/>
  <c r="F66" i="7"/>
  <c r="F67" i="7"/>
  <c r="F68" i="7"/>
  <c r="F69" i="7"/>
  <c r="F80" i="7"/>
  <c r="F63" i="7"/>
  <c r="F64" i="7"/>
  <c r="F61" i="7"/>
  <c r="F60" i="7"/>
  <c r="F44" i="7"/>
  <c r="F48" i="7"/>
  <c r="F50" i="7"/>
  <c r="C52" i="7"/>
  <c r="F52" i="7" s="1"/>
  <c r="C53" i="7"/>
  <c r="C54" i="7"/>
  <c r="F54" i="7" s="1"/>
  <c r="C55" i="7"/>
  <c r="C56" i="7"/>
  <c r="F56" i="7" s="1"/>
  <c r="F31" i="7"/>
  <c r="F32" i="7"/>
  <c r="F25" i="7"/>
  <c r="F26" i="7"/>
  <c r="F10" i="7"/>
  <c r="F13" i="7"/>
  <c r="F14" i="7"/>
  <c r="F17" i="7"/>
  <c r="F21" i="7"/>
  <c r="F9" i="7"/>
  <c r="M136" i="7"/>
  <c r="L136" i="7"/>
  <c r="E136" i="7"/>
  <c r="M135" i="7"/>
  <c r="F135" i="7"/>
  <c r="L131" i="7"/>
  <c r="E131" i="7"/>
  <c r="F131" i="7" s="1"/>
  <c r="F130" i="7"/>
  <c r="M129" i="7"/>
  <c r="M128" i="7"/>
  <c r="F128" i="7"/>
  <c r="E124" i="7"/>
  <c r="J125" i="7"/>
  <c r="B34" i="4" s="1" a="1"/>
  <c r="B34" i="4" s="1"/>
  <c r="F123" i="7"/>
  <c r="L120" i="7"/>
  <c r="E120" i="7"/>
  <c r="F120" i="7" s="1"/>
  <c r="M119" i="7"/>
  <c r="F119" i="7"/>
  <c r="F118" i="7"/>
  <c r="L115" i="7"/>
  <c r="L138" i="7" s="1"/>
  <c r="F115" i="7"/>
  <c r="E115" i="7"/>
  <c r="F114" i="7"/>
  <c r="M113" i="7"/>
  <c r="M112" i="7"/>
  <c r="M111" i="7"/>
  <c r="F111" i="7"/>
  <c r="M110" i="7"/>
  <c r="F110" i="7"/>
  <c r="L102" i="7"/>
  <c r="E102" i="7"/>
  <c r="M101" i="7"/>
  <c r="F101" i="7"/>
  <c r="C104" i="7" s="1"/>
  <c r="B23" i="4" s="1" a="1"/>
  <c r="B23" i="4" s="1"/>
  <c r="L98" i="7"/>
  <c r="L103" i="7" s="1"/>
  <c r="E98" i="7"/>
  <c r="E103" i="7" s="1"/>
  <c r="F97" i="7"/>
  <c r="M96" i="7"/>
  <c r="F96" i="7"/>
  <c r="M95" i="7"/>
  <c r="F95" i="7"/>
  <c r="M94" i="7"/>
  <c r="M92" i="7"/>
  <c r="F92" i="7"/>
  <c r="L82" i="7"/>
  <c r="E82" i="7"/>
  <c r="M81" i="7"/>
  <c r="M80" i="7"/>
  <c r="F79" i="7"/>
  <c r="M78" i="7"/>
  <c r="F78" i="7"/>
  <c r="M77" i="7"/>
  <c r="M76" i="7"/>
  <c r="F75" i="7"/>
  <c r="M74" i="7"/>
  <c r="F74" i="7"/>
  <c r="F73" i="7"/>
  <c r="L70" i="7"/>
  <c r="E70" i="7"/>
  <c r="M69" i="7"/>
  <c r="M67" i="7"/>
  <c r="M65" i="7"/>
  <c r="M64" i="7"/>
  <c r="M63" i="7"/>
  <c r="M61" i="7"/>
  <c r="M60" i="7"/>
  <c r="L57" i="7"/>
  <c r="E57" i="7"/>
  <c r="J56" i="7"/>
  <c r="M56" i="7" s="1"/>
  <c r="J55" i="7"/>
  <c r="M55" i="7" s="1"/>
  <c r="F55" i="7"/>
  <c r="J54" i="7"/>
  <c r="M54" i="7" s="1"/>
  <c r="J53" i="7"/>
  <c r="M53" i="7" s="1"/>
  <c r="F53" i="7"/>
  <c r="J52" i="7"/>
  <c r="M52" i="7" s="1"/>
  <c r="M51" i="7"/>
  <c r="F51" i="7"/>
  <c r="M50" i="7"/>
  <c r="M49" i="7"/>
  <c r="F49" i="7"/>
  <c r="M47" i="7"/>
  <c r="F47" i="7"/>
  <c r="M46" i="7"/>
  <c r="F46" i="7"/>
  <c r="M45" i="7"/>
  <c r="F45" i="7"/>
  <c r="M43" i="7"/>
  <c r="F43" i="7"/>
  <c r="F42" i="7"/>
  <c r="F34" i="7"/>
  <c r="E34" i="7"/>
  <c r="F33" i="7"/>
  <c r="F30" i="7"/>
  <c r="E28" i="7"/>
  <c r="F28" i="7" s="1"/>
  <c r="F27" i="7"/>
  <c r="F24" i="7"/>
  <c r="E22" i="7"/>
  <c r="F22" i="7" s="1"/>
  <c r="F20" i="7"/>
  <c r="F19" i="7"/>
  <c r="F18" i="7"/>
  <c r="F16" i="7"/>
  <c r="F15" i="7"/>
  <c r="F12" i="7"/>
  <c r="F11" i="7"/>
  <c r="D22" i="6"/>
  <c r="D21" i="6"/>
  <c r="D20" i="6"/>
  <c r="D19" i="6"/>
  <c r="D18" i="6"/>
  <c r="D17" i="6"/>
  <c r="D16" i="6"/>
  <c r="D15" i="6"/>
  <c r="D14" i="6"/>
  <c r="G103" i="2"/>
  <c r="C103" i="2"/>
  <c r="N102" i="2"/>
  <c r="M102" i="2"/>
  <c r="N101" i="2"/>
  <c r="M101" i="2"/>
  <c r="N100" i="2"/>
  <c r="M100" i="2"/>
  <c r="N99" i="2"/>
  <c r="M99" i="2"/>
  <c r="N98" i="2"/>
  <c r="M98" i="2"/>
  <c r="N97" i="2"/>
  <c r="M97" i="2"/>
  <c r="N96" i="2"/>
  <c r="M96" i="2"/>
  <c r="M103" i="2" s="1"/>
  <c r="G86" i="2"/>
  <c r="C86" i="2"/>
  <c r="N85" i="2"/>
  <c r="M85" i="2"/>
  <c r="N84" i="2"/>
  <c r="M84" i="2"/>
  <c r="N83" i="2"/>
  <c r="M83" i="2"/>
  <c r="M86" i="2" s="1"/>
  <c r="G55" i="2"/>
  <c r="G57" i="2" s="1"/>
  <c r="F55" i="2"/>
  <c r="F57" i="2" s="1"/>
  <c r="E55" i="2"/>
  <c r="E57" i="2" s="1"/>
  <c r="D55" i="2"/>
  <c r="D57" i="2" s="1"/>
  <c r="G40" i="2"/>
  <c r="H38" i="2"/>
  <c r="O6" i="5" s="1"/>
  <c r="P6" i="8" s="1"/>
  <c r="G38" i="2"/>
  <c r="F38" i="2"/>
  <c r="E38" i="2"/>
  <c r="D38" i="2"/>
  <c r="H20" i="2"/>
  <c r="G20" i="2"/>
  <c r="F20" i="2"/>
  <c r="E20" i="2"/>
  <c r="D20" i="2"/>
  <c r="D22" i="2" s="1"/>
  <c r="O13" i="5" l="1"/>
  <c r="N13" i="5"/>
  <c r="M13" i="5"/>
  <c r="L13" i="5"/>
  <c r="K13" i="5"/>
  <c r="G13" i="5"/>
  <c r="F13" i="5"/>
  <c r="E13" i="5"/>
  <c r="D13" i="5"/>
  <c r="C71" i="7"/>
  <c r="E22" i="2"/>
  <c r="N86" i="2"/>
  <c r="N103" i="2"/>
  <c r="O28" i="5"/>
  <c r="G22" i="2"/>
  <c r="F22" i="2"/>
  <c r="D40" i="2"/>
  <c r="E40" i="2"/>
  <c r="F40" i="2"/>
  <c r="J132" i="7"/>
  <c r="B36" i="4" s="1" a="1"/>
  <c r="B36" i="4" s="1"/>
  <c r="J121" i="7"/>
  <c r="B32" i="4" s="1" a="1"/>
  <c r="B32" i="4" s="1"/>
  <c r="C137" i="7"/>
  <c r="B37" i="4" s="1" a="1"/>
  <c r="B37" i="4" s="1"/>
  <c r="J137" i="7"/>
  <c r="B38" i="4" s="1" a="1"/>
  <c r="B38" i="4" s="1"/>
  <c r="J104" i="7"/>
  <c r="B25" i="4" s="1" a="1"/>
  <c r="B25" i="4" s="1"/>
  <c r="E138" i="7"/>
  <c r="C125" i="7"/>
  <c r="B33" i="4" s="1" a="1"/>
  <c r="B33" i="4" s="1"/>
  <c r="J99" i="7"/>
  <c r="B24" i="4" s="1" a="1"/>
  <c r="B24" i="4" s="1"/>
  <c r="C83" i="7"/>
  <c r="C58" i="7"/>
  <c r="J83" i="7"/>
  <c r="B19" i="4" s="1" a="1"/>
  <c r="B19" i="4" s="1"/>
  <c r="C23" i="7"/>
  <c r="B6" i="4" s="1" a="1"/>
  <c r="B6" i="4" s="1"/>
  <c r="C99" i="7"/>
  <c r="B22" i="4" s="1" a="1"/>
  <c r="B22" i="4" s="1"/>
  <c r="J116" i="7"/>
  <c r="B31" i="4" s="1" a="1"/>
  <c r="B31" i="4" s="1"/>
  <c r="F36" i="7"/>
  <c r="C35" i="7"/>
  <c r="B8" i="4" s="1" a="1"/>
  <c r="B8" i="4" s="1"/>
  <c r="J58" i="7"/>
  <c r="J71" i="7"/>
  <c r="C29" i="7"/>
  <c r="B7" i="4" s="1" a="1"/>
  <c r="B7" i="4" s="1"/>
  <c r="C116" i="7"/>
  <c r="B29" i="4" s="1" a="1"/>
  <c r="B29" i="4" s="1"/>
  <c r="F136" i="7"/>
  <c r="C121" i="7"/>
  <c r="B30" i="4" s="1" a="1"/>
  <c r="B30" i="4" s="1"/>
  <c r="E12" i="5" s="1"/>
  <c r="C132" i="7"/>
  <c r="B35" i="4" s="1" a="1"/>
  <c r="B35" i="4" s="1"/>
  <c r="B15" i="4" l="1" a="1"/>
  <c r="B15" i="4" s="1"/>
  <c r="N71" i="7"/>
  <c r="G58" i="7"/>
  <c r="B12" i="4" a="1"/>
  <c r="B12" i="4" s="1"/>
  <c r="K12" i="5"/>
  <c r="F12" i="5"/>
  <c r="D12" i="5"/>
  <c r="O12" i="5"/>
  <c r="N12" i="5"/>
  <c r="M12" i="5"/>
  <c r="L12" i="5"/>
  <c r="G12" i="5"/>
  <c r="C12" i="5"/>
  <c r="O11" i="5"/>
  <c r="N11" i="5"/>
  <c r="M11" i="5"/>
  <c r="L11" i="5"/>
  <c r="K11" i="5"/>
  <c r="G11" i="5"/>
  <c r="F11" i="5"/>
  <c r="E11" i="5"/>
  <c r="D11" i="5"/>
  <c r="C11" i="5"/>
  <c r="B13" i="4" a="1"/>
  <c r="B13" i="4" s="1"/>
  <c r="N58" i="7"/>
  <c r="O9" i="5"/>
  <c r="P9" i="8" s="1"/>
  <c r="N9" i="5"/>
  <c r="O9" i="8" s="1"/>
  <c r="M9" i="5"/>
  <c r="N9" i="8" s="1"/>
  <c r="L9" i="5"/>
  <c r="M9" i="8" s="1"/>
  <c r="K9" i="5"/>
  <c r="L9" i="8" s="1"/>
  <c r="G9" i="5"/>
  <c r="G9" i="8" s="1"/>
  <c r="F9" i="5"/>
  <c r="F9" i="8" s="1"/>
  <c r="E9" i="5"/>
  <c r="E9" i="8" s="1"/>
  <c r="D9" i="5"/>
  <c r="D9" i="8" s="1"/>
  <c r="C9" i="5"/>
  <c r="C9" i="8" s="1"/>
  <c r="O7" i="5"/>
  <c r="M7" i="5"/>
  <c r="L7" i="5"/>
  <c r="K7" i="5"/>
  <c r="G7" i="5"/>
  <c r="F7" i="5"/>
  <c r="E7" i="5"/>
  <c r="C7" i="5"/>
  <c r="N7" i="5"/>
  <c r="D7" i="5"/>
  <c r="G8" i="5"/>
  <c r="G8" i="8" s="1"/>
  <c r="E8" i="5"/>
  <c r="E8" i="8" s="1"/>
  <c r="C8" i="5"/>
  <c r="C8" i="8" s="1"/>
  <c r="O8" i="5"/>
  <c r="P8" i="8" s="1"/>
  <c r="N8" i="5"/>
  <c r="O8" i="8" s="1"/>
  <c r="M8" i="5"/>
  <c r="N8" i="8" s="1"/>
  <c r="L8" i="5"/>
  <c r="M8" i="8" s="1"/>
  <c r="K8" i="5"/>
  <c r="L8" i="8" s="1"/>
  <c r="F8" i="5"/>
  <c r="F8" i="8" s="1"/>
  <c r="D8" i="5"/>
  <c r="D8" i="8" s="1"/>
  <c r="O17" i="5"/>
  <c r="N17" i="5"/>
  <c r="M17" i="5"/>
  <c r="L17" i="5"/>
  <c r="K17" i="5"/>
  <c r="G17" i="5"/>
  <c r="F17" i="5"/>
  <c r="E17" i="5"/>
  <c r="D17" i="5"/>
  <c r="C17" i="5"/>
  <c r="B14" i="4" a="1"/>
  <c r="B14" i="4" s="1"/>
  <c r="G71" i="7"/>
  <c r="B18" i="4" a="1"/>
  <c r="B18" i="4" s="1"/>
  <c r="G83" i="7"/>
  <c r="O15" i="5"/>
  <c r="N15" i="5"/>
  <c r="M15" i="5"/>
  <c r="L15" i="5"/>
  <c r="K15" i="5"/>
  <c r="G15" i="5"/>
  <c r="F15" i="5"/>
  <c r="E15" i="5"/>
  <c r="D15" i="5"/>
  <c r="C15" i="5"/>
  <c r="C13" i="5"/>
  <c r="O14" i="5"/>
  <c r="N14" i="5"/>
  <c r="M14" i="5"/>
  <c r="L14" i="5"/>
  <c r="K14" i="5"/>
  <c r="G14" i="5"/>
  <c r="F14" i="5"/>
  <c r="E14" i="5"/>
  <c r="D14" i="5"/>
  <c r="C14" i="5"/>
  <c r="E16" i="5"/>
  <c r="D16" i="5"/>
  <c r="C16" i="5"/>
  <c r="O16" i="5"/>
  <c r="N16" i="5"/>
  <c r="M16" i="5"/>
  <c r="L16" i="5"/>
  <c r="K16" i="5"/>
  <c r="G16" i="5"/>
  <c r="F16" i="5"/>
  <c r="J85" i="7"/>
  <c r="B17" i="4" s="1" a="1"/>
  <c r="B17" i="4" s="1"/>
  <c r="C85" i="7"/>
  <c r="B16" i="4" s="1" a="1"/>
  <c r="B16" i="4" s="1"/>
  <c r="C139" i="7"/>
  <c r="Q9" i="8" l="1"/>
  <c r="Q8" i="8"/>
  <c r="K35" i="8" s="1"/>
  <c r="B41" i="4"/>
  <c r="G10" i="5" s="1"/>
  <c r="G10" i="8" s="1"/>
  <c r="H8" i="8"/>
  <c r="O7" i="8"/>
  <c r="G7" i="8"/>
  <c r="P7" i="8"/>
  <c r="F18" i="5"/>
  <c r="M30" i="5"/>
  <c r="M18" i="5"/>
  <c r="N18" i="8" s="1"/>
  <c r="N6" i="5"/>
  <c r="C6" i="5"/>
  <c r="F6" i="5"/>
  <c r="K6" i="5"/>
  <c r="G6" i="5"/>
  <c r="D6" i="5"/>
  <c r="E6" i="5"/>
  <c r="L6" i="5"/>
  <c r="M6" i="5"/>
  <c r="B45" i="4"/>
  <c r="F45" i="4"/>
  <c r="B44" i="4"/>
  <c r="B43" i="4" s="1"/>
  <c r="F44" i="4"/>
  <c r="C7" i="8"/>
  <c r="L7" i="8"/>
  <c r="H9" i="8"/>
  <c r="C18" i="5"/>
  <c r="G18" i="5"/>
  <c r="N18" i="5"/>
  <c r="E7" i="8"/>
  <c r="M7" i="8"/>
  <c r="D18" i="5"/>
  <c r="K18" i="5"/>
  <c r="O18" i="5"/>
  <c r="F52" i="4"/>
  <c r="F51" i="4"/>
  <c r="F50" i="4" s="1"/>
  <c r="B52" i="4"/>
  <c r="B51" i="4"/>
  <c r="B50" i="4" s="1"/>
  <c r="D7" i="8"/>
  <c r="F7" i="8"/>
  <c r="N7" i="8"/>
  <c r="E18" i="5"/>
  <c r="L18" i="5"/>
  <c r="F42" i="4"/>
  <c r="B49" i="4"/>
  <c r="F41" i="4"/>
  <c r="B48" i="4"/>
  <c r="O10" i="5" s="1"/>
  <c r="P10" i="8" s="1"/>
  <c r="F49" i="4"/>
  <c r="B42" i="4"/>
  <c r="F48" i="4"/>
  <c r="F43" i="4" l="1" a="1"/>
  <c r="F43" i="4" s="1"/>
  <c r="G29" i="5"/>
  <c r="O19" i="5"/>
  <c r="O20" i="5" s="1"/>
  <c r="G7" i="6" s="1"/>
  <c r="F44" i="6" s="1"/>
  <c r="N6" i="8"/>
  <c r="M28" i="5"/>
  <c r="O6" i="8"/>
  <c r="N28" i="5"/>
  <c r="L30" i="5"/>
  <c r="M18" i="8"/>
  <c r="F10" i="5"/>
  <c r="F19" i="5" s="1"/>
  <c r="F20" i="5" s="1"/>
  <c r="E10" i="5"/>
  <c r="E19" i="5" s="1"/>
  <c r="E20" i="5" s="1"/>
  <c r="D10" i="5"/>
  <c r="C10" i="5"/>
  <c r="L6" i="8"/>
  <c r="K28" i="5"/>
  <c r="O29" i="5"/>
  <c r="E30" i="5"/>
  <c r="E18" i="8"/>
  <c r="K30" i="5"/>
  <c r="L18" i="8"/>
  <c r="C30" i="5"/>
  <c r="C18" i="8"/>
  <c r="E6" i="8"/>
  <c r="E28" i="5"/>
  <c r="F6" i="8"/>
  <c r="F28" i="5"/>
  <c r="N30" i="5"/>
  <c r="O18" i="8"/>
  <c r="G6" i="8"/>
  <c r="G28" i="5"/>
  <c r="G19" i="5"/>
  <c r="G20" i="5" s="1"/>
  <c r="N10" i="5"/>
  <c r="N19" i="5" s="1"/>
  <c r="N20" i="5" s="1"/>
  <c r="M10" i="5"/>
  <c r="M19" i="5" s="1"/>
  <c r="M20" i="5" s="1"/>
  <c r="L10" i="5"/>
  <c r="L19" i="5" s="1"/>
  <c r="L20" i="5" s="1"/>
  <c r="K10" i="5"/>
  <c r="K19" i="5" s="1"/>
  <c r="K20" i="5" s="1"/>
  <c r="O30" i="5"/>
  <c r="P18" i="8"/>
  <c r="P19" i="8" s="1"/>
  <c r="P20" i="8" s="1"/>
  <c r="G30" i="5"/>
  <c r="G18" i="8"/>
  <c r="Q7" i="8"/>
  <c r="M6" i="8"/>
  <c r="L28" i="5"/>
  <c r="D30" i="5"/>
  <c r="D18" i="8"/>
  <c r="H7" i="8"/>
  <c r="B34" i="8" s="1"/>
  <c r="D6" i="8"/>
  <c r="D28" i="5"/>
  <c r="C6" i="8"/>
  <c r="C28" i="5"/>
  <c r="F30" i="5"/>
  <c r="F18" i="8"/>
  <c r="B35" i="8"/>
  <c r="Q18" i="8" l="1"/>
  <c r="K28" i="8" s="1"/>
  <c r="O31" i="5"/>
  <c r="N31" i="5"/>
  <c r="F7" i="6"/>
  <c r="E44" i="6" s="1"/>
  <c r="K31" i="5"/>
  <c r="C7" i="6"/>
  <c r="B44" i="6" s="1"/>
  <c r="F31" i="5"/>
  <c r="F6" i="6"/>
  <c r="D10" i="8"/>
  <c r="D19" i="8" s="1"/>
  <c r="D20" i="8" s="1"/>
  <c r="D29" i="5"/>
  <c r="D19" i="5"/>
  <c r="D20" i="5" s="1"/>
  <c r="N10" i="8"/>
  <c r="N19" i="8" s="1"/>
  <c r="M29" i="5"/>
  <c r="G31" i="5"/>
  <c r="G6" i="6"/>
  <c r="H18" i="8"/>
  <c r="B28" i="8" s="1"/>
  <c r="E10" i="8"/>
  <c r="E19" i="8" s="1"/>
  <c r="E20" i="8" s="1"/>
  <c r="E29" i="5"/>
  <c r="L31" i="5"/>
  <c r="D7" i="6"/>
  <c r="C44" i="6" s="1"/>
  <c r="L10" i="8"/>
  <c r="L19" i="8" s="1"/>
  <c r="K29" i="5"/>
  <c r="G19" i="8"/>
  <c r="G20" i="8" s="1"/>
  <c r="C10" i="8"/>
  <c r="C29" i="5"/>
  <c r="H6" i="8"/>
  <c r="B26" i="8" s="1"/>
  <c r="M10" i="8"/>
  <c r="M19" i="8" s="1"/>
  <c r="L29" i="5"/>
  <c r="M31" i="5"/>
  <c r="E7" i="6"/>
  <c r="D44" i="6" s="1"/>
  <c r="C19" i="5"/>
  <c r="C20" i="5" s="1"/>
  <c r="K34" i="8"/>
  <c r="O10" i="8"/>
  <c r="O19" i="8" s="1"/>
  <c r="O20" i="8" s="1"/>
  <c r="N29" i="5"/>
  <c r="E31" i="5"/>
  <c r="E6" i="6"/>
  <c r="Q6" i="8"/>
  <c r="K26" i="8" s="1"/>
  <c r="F10" i="8"/>
  <c r="F19" i="8" s="1"/>
  <c r="F20" i="8" s="1"/>
  <c r="F29" i="5"/>
  <c r="H10" i="8" l="1"/>
  <c r="B36" i="8" s="1"/>
  <c r="F8" i="6"/>
  <c r="E33" i="6"/>
  <c r="E8" i="6"/>
  <c r="D33" i="6"/>
  <c r="Q19" i="8"/>
  <c r="K37" i="8" s="1"/>
  <c r="D31" i="5"/>
  <c r="D6" i="6"/>
  <c r="N20" i="8"/>
  <c r="L20" i="8"/>
  <c r="C19" i="8"/>
  <c r="G8" i="6"/>
  <c r="F33" i="6"/>
  <c r="M20" i="8"/>
  <c r="C31" i="5"/>
  <c r="C6" i="6"/>
  <c r="Q10" i="8"/>
  <c r="B45" i="6"/>
  <c r="B46" i="6" s="1"/>
  <c r="K36" i="8" l="1"/>
  <c r="K38" i="8" s="1"/>
  <c r="Q11" i="8"/>
  <c r="K27" i="8" s="1"/>
  <c r="K29" i="8" s="1"/>
  <c r="C20" i="8"/>
  <c r="H19" i="8"/>
  <c r="B33" i="6"/>
  <c r="C8" i="6"/>
  <c r="C33" i="6"/>
  <c r="D8" i="6"/>
  <c r="L35" i="8" l="1"/>
  <c r="L34" i="8"/>
  <c r="L37" i="8"/>
  <c r="B34" i="6"/>
  <c r="B35" i="6" s="1"/>
  <c r="H11" i="8"/>
  <c r="B27" i="8" s="1"/>
  <c r="B37" i="8"/>
  <c r="L27" i="8"/>
  <c r="L28" i="8"/>
  <c r="L26" i="8"/>
  <c r="L36" i="8"/>
  <c r="L29" i="8" l="1"/>
  <c r="B38" i="8"/>
  <c r="B29" i="8"/>
  <c r="L38" i="8"/>
  <c r="C28" i="8" l="1"/>
  <c r="C26" i="8"/>
  <c r="C27" i="8"/>
  <c r="C34" i="8"/>
  <c r="C35" i="8"/>
  <c r="C36" i="8"/>
  <c r="C37" i="8"/>
  <c r="C29" i="8" l="1"/>
  <c r="C3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<sst xmlns="http://schemas.openxmlformats.org/spreadsheetml/2006/main" count="958" uniqueCount="400">
  <si>
    <r>
      <rPr>
        <b/>
        <sz val="26"/>
        <color rgb="FFFFFFFF"/>
        <rFont val="Arial"/>
        <family val="2"/>
        <charset val="1"/>
      </rPr>
      <t>CALCULATEUR DE FOOD COST</t>
    </r>
    <r>
      <rPr>
        <b/>
        <sz val="20"/>
        <color rgb="FFFFFFFF"/>
        <rFont val="Arial"/>
        <family val="2"/>
        <charset val="1"/>
      </rPr>
      <t xml:space="preserve"> 
</t>
    </r>
    <r>
      <rPr>
        <b/>
        <sz val="16"/>
        <color rgb="FFFFFFFF"/>
        <rFont val="Arial"/>
        <family val="2"/>
        <charset val="1"/>
      </rPr>
      <t>(COÛT DENRÉE MOYEN D’UN REPAS)</t>
    </r>
  </si>
  <si>
    <t xml:space="preserve">1. Pour quoi faire ? </t>
  </si>
  <si>
    <r>
      <rPr>
        <sz val="10"/>
        <color rgb="FF000000"/>
        <rFont val="Arial"/>
        <family val="2"/>
        <charset val="1"/>
      </rPr>
      <t>Cet outil vous permet de</t>
    </r>
    <r>
      <rPr>
        <b/>
        <sz val="12"/>
        <color rgb="FF000000"/>
        <rFont val="Arial"/>
        <family val="2"/>
        <charset val="1"/>
      </rPr>
      <t xml:space="preserve"> calculer l’impact économique de la mise en œuvre d’une offre alimentaire durable</t>
    </r>
    <r>
      <rPr>
        <sz val="10"/>
        <color rgb="FF000000"/>
        <rFont val="Arial"/>
        <family val="2"/>
        <charset val="1"/>
      </rPr>
      <t xml:space="preserve">. 
Intégrer des ingrédients de qualité différenciée dans les repas implique </t>
    </r>
    <r>
      <rPr>
        <b/>
        <sz val="10"/>
        <color rgb="FF000000"/>
        <rFont val="Arial"/>
        <family val="2"/>
        <charset val="1"/>
      </rPr>
      <t xml:space="preserve">une adaptation du coût denrée moyen.
</t>
    </r>
    <r>
      <rPr>
        <sz val="10"/>
        <color rgb="FF000000"/>
        <rFont val="Arial"/>
        <family val="2"/>
        <charset val="1"/>
      </rPr>
      <t xml:space="preserve">
</t>
    </r>
    <r>
      <rPr>
        <i/>
        <sz val="10"/>
        <color rgb="FF000000"/>
        <rFont val="Arial"/>
        <family val="2"/>
        <charset val="1"/>
      </rPr>
      <t>Combien coûte l’intégration de fruits bio ? 
Combien coûte l’intégration de légumes frais ? 
Combien me fait économiser une offre végétarienne ?</t>
    </r>
    <r>
      <rPr>
        <sz val="10"/>
        <color rgb="FF000000"/>
        <rFont val="Arial"/>
        <family val="2"/>
        <charset val="1"/>
      </rPr>
      <t xml:space="preserve"> 
Pragmatique et simple d’utilisation, ce calculateur de food cost permet au gérant d’une cuisine de collectivité de calculer et objectiver l’impact de l’intégration d’ingrédients de qualité différenciée dans son offre alimentaire. 
Cet outil est ainsi un</t>
    </r>
    <r>
      <rPr>
        <b/>
        <sz val="10"/>
        <color rgb="FF000000"/>
        <rFont val="Arial"/>
        <family val="2"/>
        <charset val="1"/>
      </rPr>
      <t xml:space="preserve"> instrument d’orientation et d’aide à la décision</t>
    </r>
    <r>
      <rPr>
        <sz val="10"/>
        <color rgb="FF000000"/>
        <rFont val="Arial"/>
        <family val="2"/>
        <charset val="1"/>
      </rPr>
      <t>, pour amorcer la transition de l’offre alimentaire vers une offre alimentaire plus saine et durable.</t>
    </r>
    <r>
      <rPr>
        <b/>
        <sz val="10"/>
        <color rgb="FF000000"/>
        <rFont val="Arial"/>
        <family val="2"/>
        <charset val="1"/>
      </rPr>
      <t xml:space="preserve"> Il doit vous permettre de prioriser vos actions et choisir les ingrédients</t>
    </r>
    <r>
      <rPr>
        <sz val="10"/>
        <color rgb="FF000000"/>
        <rFont val="Arial"/>
        <family val="2"/>
        <charset val="1"/>
      </rPr>
      <t xml:space="preserve"> ou l’offre que vous allez mettre en œuvre en premier, en fonction de l’impact que cela va avoir sur votre coût denrée moyen. </t>
    </r>
  </si>
  <si>
    <t xml:space="preserve">2. Comment ça marche ? </t>
  </si>
  <si>
    <r>
      <rPr>
        <sz val="12"/>
        <color theme="1"/>
        <rFont val="Calibri"/>
        <family val="2"/>
        <scheme val="minor"/>
      </rPr>
      <t xml:space="preserve">Afin de calculer le food cost moyen des repas, vous devez suivre les étapes suivantes : 
</t>
    </r>
    <r>
      <rPr>
        <b/>
        <sz val="10"/>
        <rFont val="Arial"/>
        <family val="2"/>
        <charset val="1"/>
      </rPr>
      <t>1) Rendez-vous sur la feuille intitulée « Feuille d’encodage »</t>
    </r>
    <r>
      <rPr>
        <sz val="12"/>
        <color theme="1"/>
        <rFont val="Calibri"/>
        <family val="2"/>
        <scheme val="minor"/>
      </rPr>
      <t xml:space="preserve"> : pour y encoder l’offre alimentaire désirée via les cellules jaunes. Cette feuille vous donne la possibilité d’adapter vos grammages. En effet, les grammages ont un impact majeur dans le calcul du food cost moyen. 
</t>
    </r>
    <r>
      <rPr>
        <b/>
        <sz val="10"/>
        <rFont val="Arial"/>
        <family val="2"/>
        <charset val="1"/>
      </rPr>
      <t>2) Pour ceux qui souhaitent aller plus loin, adaptez le tableau des prix avec le prix de vos propres fournisseurs à la feuille intitulée « Tableau des prix » </t>
    </r>
    <r>
      <rPr>
        <sz val="12"/>
        <color theme="1"/>
        <rFont val="Calibri"/>
        <family val="2"/>
        <scheme val="minor"/>
      </rPr>
      <t xml:space="preserve">: le food cost est calculé sur base de prix moyens. Pour affiner la justesse de votre calcul food cost, vous pouvez directement changer la liste de prix dans la feuille prévue à cet effet et y ajouter vos prix. 
3) </t>
    </r>
    <r>
      <rPr>
        <i/>
        <sz val="10"/>
        <rFont val="Arial"/>
        <family val="2"/>
        <charset val="1"/>
      </rPr>
      <t>Alors, ça donne quoi ?</t>
    </r>
    <r>
      <rPr>
        <b/>
        <sz val="10"/>
        <rFont val="Arial"/>
        <family val="2"/>
        <charset val="1"/>
      </rPr>
      <t xml:space="preserve"> Allez aux feuilles ‘Votre résultat’ et ‘Synthèse’
</t>
    </r>
  </si>
  <si>
    <t>3. Encore quelques remarques</t>
  </si>
  <si>
    <r>
      <rPr>
        <sz val="10"/>
        <color rgb="FF000000"/>
        <rFont val="Arial"/>
        <family val="2"/>
        <charset val="1"/>
      </rPr>
      <t>Le food cost représente</t>
    </r>
    <r>
      <rPr>
        <b/>
        <sz val="10"/>
        <color rgb="FF000000"/>
        <rFont val="Arial"/>
        <family val="2"/>
        <charset val="1"/>
      </rPr>
      <t xml:space="preserve"> le coût d’achat des matières premières pour la confection des repas</t>
    </r>
    <r>
      <rPr>
        <sz val="10"/>
        <color rgb="FF000000"/>
        <rFont val="Arial"/>
        <family val="2"/>
        <charset val="1"/>
      </rPr>
      <t xml:space="preserve">. Il ne comprend donc pas le coût lié à la main d’oeuvre pour la préparation de ceux-ci. Si vous mettez en œuvre davantage de légumes frais, il est évident que votre coût de main d’oeuvre va augmenter sauf si vous pouvez bénéficier de main d’oeuvre bénévole, en formation ou en stage. 
Un coût supplémentaire, appelé « Overhead », de 15% a été ajouté au prix initial du repas afin d’y inclure les ingrédients d’assaisonnement (épices, dressing, bouillon, etc). 
Les critères de durabilité d’une offre alimentaire sont divers et variés. Ils n’ont donc pas pu être tous intégrés à ce calculateur de food cost. Voici donc certains éléments à prendre en compte dans votre réflexion : 
- </t>
    </r>
    <r>
      <rPr>
        <b/>
        <i/>
        <sz val="10"/>
        <color rgb="FF000000"/>
        <rFont val="Arial"/>
        <family val="2"/>
        <charset val="1"/>
      </rPr>
      <t>La saisonnalité des fruits et des légumes</t>
    </r>
    <r>
      <rPr>
        <sz val="10"/>
        <color rgb="FF000000"/>
        <rFont val="Arial"/>
        <family val="2"/>
        <charset val="1"/>
      </rPr>
      <t xml:space="preserve"> : enjeu important dans une offre alimentaire durable qui n’a pas été considéré dans le food cost. La fluctuation des prix est importante d’une année à l’autre et ne permet pas de chiffrer objectivement la différence de coût liée à la saisonnalité.  
- </t>
    </r>
    <r>
      <rPr>
        <b/>
        <i/>
        <sz val="10"/>
        <color rgb="FF000000"/>
        <rFont val="Arial"/>
        <family val="2"/>
        <charset val="1"/>
      </rPr>
      <t>La labellisation ASC et MSC des poissons</t>
    </r>
    <r>
      <rPr>
        <sz val="10"/>
        <color rgb="FF000000"/>
        <rFont val="Arial"/>
        <family val="2"/>
        <charset val="1"/>
      </rPr>
      <t xml:space="preserve"> : l’offre en poissons durables en cuisine de collectivité est majoritairement surgelée. Les fournisseurs de poissons offrent désormais du poisson surgelé majoritairement labellisé à destination des cantines. Il n’y a donc pas de surcoût spécifique à l’intégration de poissons durables dans les repas. Intégrez-les donc d’office, ce ne vous coûtera pas plus cher. 
- </t>
    </r>
    <r>
      <rPr>
        <b/>
        <i/>
        <sz val="10"/>
        <color rgb="FF000000"/>
        <rFont val="Arial"/>
        <family val="2"/>
        <charset val="1"/>
      </rPr>
      <t>La viande labellisée bio</t>
    </r>
    <r>
      <rPr>
        <sz val="10"/>
        <color rgb="FF000000"/>
        <rFont val="Arial"/>
        <family val="2"/>
        <charset val="1"/>
      </rPr>
      <t> : représente un coût important que les cantines de collectivité ne savent généralement pas se permettre. Ce paramètre n’a donc pas été inclus dans la construction de cet outil.
-</t>
    </r>
    <r>
      <rPr>
        <b/>
        <i/>
        <sz val="10"/>
        <color rgb="FF000000"/>
        <rFont val="Arial"/>
        <family val="2"/>
        <charset val="1"/>
      </rPr>
      <t xml:space="preserve"> L’utilisation de bouillon dans le potage, de féculents raffinés ou encore de produits issus du commerce équitable</t>
    </r>
    <r>
      <rPr>
        <sz val="10"/>
        <color rgb="FF000000"/>
        <rFont val="Arial"/>
        <family val="2"/>
        <charset val="1"/>
      </rPr>
      <t xml:space="preserve"> (Fairtrade) n’a pas été ajoutée aux critères de durabilité puisqu’ils représentent un coût minime par rapport au prix d’un repas. </t>
    </r>
  </si>
  <si>
    <t xml:space="preserve">ENCODAGE DES DONNÉES </t>
  </si>
  <si>
    <t>1. OFFRE ALIMENTAIRE – GRAMMAGES</t>
  </si>
  <si>
    <t xml:space="preserve">Les grammages de référence ont été pré-encodés dans les tableaux ci-dessous. </t>
  </si>
  <si>
    <r>
      <rPr>
        <sz val="12"/>
        <color theme="1"/>
        <rFont val="Calibri"/>
        <family val="2"/>
        <scheme val="minor"/>
      </rPr>
      <t xml:space="preserve">Cependant, vous pouvez modifier ceux-ci afin de les adapter aux grammages utilisés dans votre propre cuisine </t>
    </r>
    <r>
      <rPr>
        <b/>
        <sz val="10"/>
        <rFont val="Arial"/>
        <family val="2"/>
        <charset val="1"/>
      </rPr>
      <t xml:space="preserve">en modifiant les cellules jaunes. </t>
    </r>
  </si>
  <si>
    <t xml:space="preserve">Il est important d’ajuster vos grammages dans ce tableau puisque ceux-ci ont un impact majeur sur le calcul du food cost. </t>
  </si>
  <si>
    <t xml:space="preserve">*Vous avez également la possibilité d’ajouter une autre catégorie de grammage dans la colonne « Autre catégorie ». Celle-ci peut notamment être utilisée si vous utilisez un système de demi-portion, des grammages spécifiques pour les adolescents, etc. </t>
  </si>
  <si>
    <t>Grammages de l’offre actuelle</t>
  </si>
  <si>
    <t xml:space="preserve">Tableau à adapter à vos grammages contractuels ACTUELS via  </t>
  </si>
  <si>
    <t>COMPOSANTS</t>
  </si>
  <si>
    <t>Unité</t>
  </si>
  <si>
    <t>Prégardiennat</t>
  </si>
  <si>
    <t>Maternelles</t>
  </si>
  <si>
    <t>Primaires</t>
  </si>
  <si>
    <t>Adultes</t>
  </si>
  <si>
    <t>Autre catégorie*</t>
  </si>
  <si>
    <t>VVPOLAV</t>
  </si>
  <si>
    <t>VVPOLAV**</t>
  </si>
  <si>
    <t>KG</t>
  </si>
  <si>
    <t>FÉCULENTS</t>
  </si>
  <si>
    <t>Féculents secs : riz, pâtes, semoule,…</t>
  </si>
  <si>
    <t>Féculents : pommes de terre</t>
  </si>
  <si>
    <t>LEGUMES</t>
  </si>
  <si>
    <t>Grammage total de légumes : soupe + plat chaud</t>
  </si>
  <si>
    <t>Soupe</t>
  </si>
  <si>
    <t>L</t>
  </si>
  <si>
    <t>Légumes pour la soupe</t>
  </si>
  <si>
    <t>Légumes du plat</t>
  </si>
  <si>
    <t>Total de légumes</t>
  </si>
  <si>
    <t>DESSERTS</t>
  </si>
  <si>
    <t>Fruits</t>
  </si>
  <si>
    <t>Yaourts</t>
  </si>
  <si>
    <t>Entremets lactés</t>
  </si>
  <si>
    <t>Autres : pâtisseries, glaces</t>
  </si>
  <si>
    <t>Grammages de l’offre souhaitée</t>
  </si>
  <si>
    <t xml:space="preserve">Tableau à adapter aux grammages ENVISAGÉS via  </t>
  </si>
  <si>
    <t>Autre catégorie</t>
  </si>
  <si>
    <r>
      <rPr>
        <sz val="12"/>
        <color theme="1"/>
        <rFont val="Calibri"/>
        <family val="2"/>
        <scheme val="minor"/>
      </rPr>
      <t xml:space="preserve">Grammages de référence.  </t>
    </r>
    <r>
      <rPr>
        <b/>
        <sz val="14"/>
        <color rgb="FF00599D"/>
        <rFont val="Arial"/>
        <family val="2"/>
        <charset val="1"/>
      </rPr>
      <t>Le tableau ci-dessous ne doit pas être adapté. C’est pour votre information.</t>
    </r>
  </si>
  <si>
    <t>Légumes</t>
  </si>
  <si>
    <t xml:space="preserve">Remarques : </t>
  </si>
  <si>
    <t>1) Tous les poids sont exprimés sur poids cru et partie comestible.</t>
  </si>
  <si>
    <t xml:space="preserve">2) Grammages de référence du repas principal du cahier spécial des charges de la Fédération Wallonie de 2012 Bruxelles : maternelles, primaires (grand) et adultes. </t>
  </si>
  <si>
    <t xml:space="preserve">3) Grammages de référence de l’O.N.E  du guide pratique pour l’alimentation des enfants dans les milieux d’accueil : prégardiennat. </t>
  </si>
  <si>
    <t>**VVPOLAV : Viandes, volailles, poissons, œufs et alternatives végétales</t>
  </si>
  <si>
    <t>2. OFFRE ALIMENTAIRE – FRÉQUENCES</t>
  </si>
  <si>
    <t xml:space="preserve">Remplissez les différentes cellules jaunes afin de déterminer votre food cost moyen par jour. </t>
  </si>
  <si>
    <t xml:space="preserve">Tableau à compléter/adapter via  </t>
  </si>
  <si>
    <t>Offre actuelle</t>
  </si>
  <si>
    <t>Offre souhaitée</t>
  </si>
  <si>
    <t>Nombre de jours d’ouverture de la cantine par mois</t>
  </si>
  <si>
    <t>*</t>
  </si>
  <si>
    <t xml:space="preserve">Nombre de jours d’ouverture de la cantine par an </t>
  </si>
  <si>
    <t>1. Entrée</t>
  </si>
  <si>
    <t>% de légumes dans la soupe</t>
  </si>
  <si>
    <t>% de légumes bio (moyenne frais et congelés)</t>
  </si>
  <si>
    <t>NB : Il est difficilement réalisable d’atteindre 100% de légumes frais dans la soupe en cuisine de collectivité pour des raisons budgétaires et organisationnelles. Exemples : soupe à la tomates ou aux petits pois.
NB : Le prix de la soupe a été calculé sur base de la moyenne de prix de légumes conventionnels (frais et surgelés) et du prix moyen des légumes bio (frais et surgelés).</t>
  </si>
  <si>
    <t>2. Plat chaud</t>
  </si>
  <si>
    <t>Résumé en %</t>
  </si>
  <si>
    <t>Nombre de repas végétariens par mois</t>
  </si>
  <si>
    <t>Nombre de repas à base de viande par mois</t>
  </si>
  <si>
    <t>Nombre de repas à base de poisson par mois</t>
  </si>
  <si>
    <t>Total des VVPOLAV</t>
  </si>
  <si>
    <t xml:space="preserve">NB : L’introduction de poissons surgelés issus de la pêche durable (label MSC et ASC) n’engendre pas de surcoût au niveau du food cost. Il est donc conseillé d’offir uniquement une offre de poissons labellisés. </t>
  </si>
  <si>
    <t>Féculents</t>
  </si>
  <si>
    <t>% total des féculents secs bio</t>
  </si>
  <si>
    <t>% total de pommes de terre bio</t>
  </si>
  <si>
    <t xml:space="preserve">NB : L’introduction de féculents complets n’engendre pas de surcoût significatif sur le food cost. Il est donc préconnisé de favroiser les féculents complets, tant pour des raisons environnentales que des raisons de santé. </t>
  </si>
  <si>
    <t>% de légumes frais bruts</t>
  </si>
  <si>
    <t>% de légumes bio</t>
  </si>
  <si>
    <r>
      <rPr>
        <sz val="12"/>
        <color theme="1"/>
        <rFont val="Calibri"/>
        <family val="2"/>
        <scheme val="minor"/>
      </rPr>
      <t>Utilisez-vous majoritairement des légumes de 4</t>
    </r>
    <r>
      <rPr>
        <vertAlign val="superscript"/>
        <sz val="10"/>
        <rFont val="Arial"/>
        <family val="2"/>
        <charset val="1"/>
      </rPr>
      <t>e</t>
    </r>
    <r>
      <rPr>
        <sz val="12"/>
        <color theme="1"/>
        <rFont val="Calibri"/>
        <family val="2"/>
        <scheme val="minor"/>
      </rPr>
      <t xml:space="preserve"> gamme </t>
    </r>
    <r>
      <rPr>
        <sz val="8"/>
        <rFont val="Arial"/>
        <family val="2"/>
        <charset val="1"/>
      </rPr>
      <t xml:space="preserve">(légumes frais épluchés, découpés, conditionnés et conservés par réfrigération) </t>
    </r>
    <r>
      <rPr>
        <sz val="12"/>
        <color theme="1"/>
        <rFont val="Calibri"/>
        <family val="2"/>
        <scheme val="minor"/>
      </rPr>
      <t xml:space="preserve">? </t>
    </r>
  </si>
  <si>
    <t>Non</t>
  </si>
  <si>
    <t>NB : On ne peut pas arriver à 100 % de légumes frais en collectivité (exemples : petits pois, conserve de tomates, haricots, etc)</t>
  </si>
  <si>
    <t>NB : On ne peut pas arriver à 100 % de légumes frais en collectivité (exemples : petits pois, conserve de tomates, haricots,etc)</t>
  </si>
  <si>
    <t>3. Dessert</t>
  </si>
  <si>
    <t>Nombre de fruits par mois</t>
  </si>
  <si>
    <t>Nombre de yaourts par mois</t>
  </si>
  <si>
    <t>Nombre de yaourts vegan</t>
  </si>
  <si>
    <t>Nombre de yaourts en grand conditionnement (conventionnels)</t>
  </si>
  <si>
    <t>Nombre d’entremets lactés par mois</t>
  </si>
  <si>
    <t>Nombre de pâtisseries et glaces par mois</t>
  </si>
  <si>
    <t>Nombre de desserts maison (entremets lactés et pâtisseries)</t>
  </si>
  <si>
    <t>Total de desserts</t>
  </si>
  <si>
    <t>% de bio</t>
  </si>
  <si>
    <t>4. Autre</t>
  </si>
  <si>
    <t>Réduction du gaspillage alimentaire (pour le coût annuel des repas)</t>
  </si>
  <si>
    <t xml:space="preserve">Si vous réduisez votre gaspillage alimentaire, cela réduira également votre food cost. Indiquez donc le pourcentage de réduction de gaspillage que vous souhaitez atteindre. L’impact financier de la réduction du gaspillage alimentaire sera uniquement prise en compte dans le coût annuel des repas (4) Synthèse). 
NB : Il faut accepter qu’il y aura toujours un peu de gaspillage alimentaire dans les cuisines de collectivité. On ne pourra quasiment jamais descendre en dessous de 10 % de gaspillage alimentaire. </t>
  </si>
  <si>
    <r>
      <rPr>
        <b/>
        <sz val="9"/>
        <color rgb="FF00A933"/>
        <rFont val="Arial"/>
        <family val="2"/>
        <charset val="1"/>
      </rPr>
      <t xml:space="preserve">* </t>
    </r>
    <r>
      <rPr>
        <sz val="9"/>
        <color rgb="FF00A933"/>
        <rFont val="Arial"/>
        <family val="2"/>
        <charset val="1"/>
      </rPr>
      <t xml:space="preserve">Données obligatoires pour le calcul du food cost. </t>
    </r>
  </si>
  <si>
    <t>3. RÉSUME DES MODIFICATIONS APPORTÉES À L’OFFRE ACTUELLE</t>
  </si>
  <si>
    <t>Résumé des modifications</t>
  </si>
  <si>
    <t>Grammages</t>
  </si>
  <si>
    <t xml:space="preserve">Ai-je modifié les grammages ? </t>
  </si>
  <si>
    <r>
      <rPr>
        <sz val="11"/>
        <rFont val="Arial"/>
        <family val="2"/>
        <charset val="1"/>
      </rPr>
      <t>Si oui, de quel(s) composant(s) de l’assiette ?</t>
    </r>
    <r>
      <rPr>
        <sz val="8"/>
        <rFont val="Arial"/>
        <family val="2"/>
        <charset val="1"/>
      </rPr>
      <t xml:space="preserve"> 
(soupe, VVPOLAV, féculents, légumes, desserts)</t>
    </r>
  </si>
  <si>
    <t xml:space="preserve">Soupe </t>
  </si>
  <si>
    <t xml:space="preserve">Ai-je modifié des légumes bio dans le potage ? </t>
  </si>
  <si>
    <t xml:space="preserve">Ai-je modifié le nombre de repas végétariens ? </t>
  </si>
  <si>
    <t xml:space="preserve">Ai-je modifié le nombre de repas à base de viande ? </t>
  </si>
  <si>
    <t xml:space="preserve">Ai-je modifié le nombre de repas à base de poisson par mois ? </t>
  </si>
  <si>
    <t xml:space="preserve">Ai-je modifié l’offre de féculents bio ? </t>
  </si>
  <si>
    <t xml:space="preserve">Ai-je introduit des légumes frais ou bio ? </t>
  </si>
  <si>
    <t>Gaspillage</t>
  </si>
  <si>
    <t>Ai-je réduit le gaspillage alimentaire ?</t>
  </si>
  <si>
    <t xml:space="preserve">Si oui, de combien de pourcent ai-je réduit le gaspillage ? </t>
  </si>
  <si>
    <t>TABLEAU DES PRIX</t>
  </si>
  <si>
    <t>Coût denrée moyen (€/kg)</t>
  </si>
  <si>
    <t>Coût denrée (€/kg) 
réel du site</t>
  </si>
  <si>
    <t>En</t>
  </si>
  <si>
    <t xml:space="preserve"> = prix à adapter à vos prix actuels (optionnel)</t>
  </si>
  <si>
    <t>Viandes, volailles</t>
  </si>
  <si>
    <t xml:space="preserve">Carbonnade de bœuf </t>
  </si>
  <si>
    <t xml:space="preserve">Lamelles de bœuf </t>
  </si>
  <si>
    <t>Cubes d’agneau</t>
  </si>
  <si>
    <t>Blanc de poulet</t>
  </si>
  <si>
    <t>Rôti de dinde</t>
  </si>
  <si>
    <t>Escalope de poulet</t>
  </si>
  <si>
    <t>Escalope spiringue de porc</t>
  </si>
  <si>
    <t>Rôti de porc cuit</t>
  </si>
  <si>
    <t xml:space="preserve">Blanquette de veau </t>
  </si>
  <si>
    <t>Sauté de veau</t>
  </si>
  <si>
    <t>Haché porc et bœuf</t>
  </si>
  <si>
    <t>Boulettes de porc</t>
  </si>
  <si>
    <t>Saucisse de campagne</t>
  </si>
  <si>
    <t xml:space="preserve">Poissons surgelés </t>
  </si>
  <si>
    <t>Cabillaud (MSC)</t>
  </si>
  <si>
    <t>Colin (MSC)</t>
  </si>
  <si>
    <t>Saumon</t>
  </si>
  <si>
    <t>Thon listao (MSC)</t>
  </si>
  <si>
    <t>OLAV</t>
  </si>
  <si>
    <t>Omelette nature surgelée</t>
  </si>
  <si>
    <t>Pois chiches</t>
  </si>
  <si>
    <t>Lamelle de Quorn</t>
  </si>
  <si>
    <t>Lentilles corail bio</t>
  </si>
  <si>
    <t>LÉGUMES</t>
  </si>
  <si>
    <t xml:space="preserve">Légumes surgelés conventionnels </t>
  </si>
  <si>
    <t>Brocolis fleurettes</t>
  </si>
  <si>
    <t>Carottes en cubes</t>
  </si>
  <si>
    <t>Céleris en cubes</t>
  </si>
  <si>
    <t>Champignons émincés</t>
  </si>
  <si>
    <t>Choux-fleurs</t>
  </si>
  <si>
    <t>Oignons en rondelles</t>
  </si>
  <si>
    <t>Poireaux en rondelles</t>
  </si>
  <si>
    <t>Poivrons en lanières</t>
  </si>
  <si>
    <t>Potirons en cubes</t>
  </si>
  <si>
    <t>Courgettes en cubes</t>
  </si>
  <si>
    <t xml:space="preserve">Légume 1 : … </t>
  </si>
  <si>
    <t>Légume 2 : …</t>
  </si>
  <si>
    <t>Légume 3 : …</t>
  </si>
  <si>
    <t>Légume 4 : …</t>
  </si>
  <si>
    <t>Légume 5 : …</t>
  </si>
  <si>
    <t xml:space="preserve">Légumes surgelés bio </t>
  </si>
  <si>
    <t>Brocolis fleurettes bio</t>
  </si>
  <si>
    <t>Carottes en dés bio</t>
  </si>
  <si>
    <t>Céleris raves en dés bio</t>
  </si>
  <si>
    <t>Champignons émincés bio</t>
  </si>
  <si>
    <t>Choux-fleurs bio</t>
  </si>
  <si>
    <t>Oignons en cubes bio</t>
  </si>
  <si>
    <t>Poireaux bio</t>
  </si>
  <si>
    <t>Poivrons en lanières bio</t>
  </si>
  <si>
    <t>Potirons en cubes bio</t>
  </si>
  <si>
    <t>Courgettes en cubes bio</t>
  </si>
  <si>
    <t>Légume 1 : …</t>
  </si>
  <si>
    <t xml:space="preserve">Légumes frais bruts conventionnels </t>
  </si>
  <si>
    <t>Brocolis</t>
  </si>
  <si>
    <t>Carottes</t>
  </si>
  <si>
    <t>Céleris-raves</t>
  </si>
  <si>
    <t>Champignons</t>
  </si>
  <si>
    <t>Oignons</t>
  </si>
  <si>
    <t>Poireaux</t>
  </si>
  <si>
    <t>Poivrons</t>
  </si>
  <si>
    <t>Potirons</t>
  </si>
  <si>
    <t>Courgettes</t>
  </si>
  <si>
    <t>Légumes frais bruts bio</t>
  </si>
  <si>
    <t>Brocolis bio</t>
  </si>
  <si>
    <t>Carottes bio</t>
  </si>
  <si>
    <t>Céleris-raves bio</t>
  </si>
  <si>
    <t>Champignons bio</t>
  </si>
  <si>
    <t>Oignons bio</t>
  </si>
  <si>
    <t>Poivrons bio</t>
  </si>
  <si>
    <t>Potirons bio</t>
  </si>
  <si>
    <t>Courgettes bio</t>
  </si>
  <si>
    <r>
      <rPr>
        <b/>
        <sz val="10"/>
        <rFont val="Arial"/>
        <family val="2"/>
        <charset val="1"/>
      </rPr>
      <t>Légumes frais 4</t>
    </r>
    <r>
      <rPr>
        <b/>
        <vertAlign val="superscript"/>
        <sz val="10"/>
        <rFont val="Arial"/>
        <family val="2"/>
        <charset val="1"/>
      </rPr>
      <t>e</t>
    </r>
    <r>
      <rPr>
        <b/>
        <sz val="10"/>
        <rFont val="Arial"/>
        <family val="2"/>
        <charset val="1"/>
      </rPr>
      <t xml:space="preserve"> gamme conventionnels</t>
    </r>
  </si>
  <si>
    <t>Brocolis en bouquets</t>
  </si>
  <si>
    <t>Céleris verts coupés</t>
  </si>
  <si>
    <t>Champignons coupés</t>
  </si>
  <si>
    <t>Choux-fleurs en bouquets</t>
  </si>
  <si>
    <t>Oignons hachés</t>
  </si>
  <si>
    <t>Blancs de poireaux</t>
  </si>
  <si>
    <t>Poivrons en cubes</t>
  </si>
  <si>
    <r>
      <rPr>
        <b/>
        <sz val="10"/>
        <rFont val="Arial"/>
        <family val="2"/>
        <charset val="1"/>
      </rPr>
      <t>Légumes frais 4</t>
    </r>
    <r>
      <rPr>
        <b/>
        <vertAlign val="superscript"/>
        <sz val="10"/>
        <rFont val="Arial"/>
        <family val="2"/>
        <charset val="1"/>
      </rPr>
      <t>e</t>
    </r>
    <r>
      <rPr>
        <b/>
        <sz val="10"/>
        <rFont val="Arial"/>
        <family val="2"/>
        <charset val="1"/>
      </rPr>
      <t xml:space="preserve"> gamme bio</t>
    </r>
  </si>
  <si>
    <t>Brocolis en bouquets bio</t>
  </si>
  <si>
    <t>Carottes en cubes bio</t>
  </si>
  <si>
    <t>Céleris verts coupés bio</t>
  </si>
  <si>
    <t>Champignons coupés bio</t>
  </si>
  <si>
    <t>Choux-fleurs en bouquets bio</t>
  </si>
  <si>
    <t>Oignons hachés bio</t>
  </si>
  <si>
    <t>Blancs de poireaux bio</t>
  </si>
  <si>
    <t>Poivrons en cubes bio</t>
  </si>
  <si>
    <t>Féculents secs conventionnels</t>
  </si>
  <si>
    <t>Macaronis</t>
  </si>
  <si>
    <t>Spaghettis</t>
  </si>
  <si>
    <t>Riz long grain</t>
  </si>
  <si>
    <t>Couscous</t>
  </si>
  <si>
    <t>Quinoa</t>
  </si>
  <si>
    <t>Riz basmati</t>
  </si>
  <si>
    <t>Boulghour</t>
  </si>
  <si>
    <t>Pommes de terre conventionnelles</t>
  </si>
  <si>
    <t>Pommes de terre précuites</t>
  </si>
  <si>
    <t>Féculents secs bio</t>
  </si>
  <si>
    <t>Macaronis bio</t>
  </si>
  <si>
    <t>Spaghettis bio</t>
  </si>
  <si>
    <t>Riz long grain bio</t>
  </si>
  <si>
    <t>Couscous bio</t>
  </si>
  <si>
    <t>Quinoa bio</t>
  </si>
  <si>
    <t>Riz basmati bio</t>
  </si>
  <si>
    <t>Boulghour bio</t>
  </si>
  <si>
    <t>Pommes de terre bio</t>
  </si>
  <si>
    <t>Pommes de terre précuites bio</t>
  </si>
  <si>
    <t xml:space="preserve">Fruits conventionnels </t>
  </si>
  <si>
    <t>Pommes Jonagold</t>
  </si>
  <si>
    <t>Poires Conférence</t>
  </si>
  <si>
    <t>Bananes</t>
  </si>
  <si>
    <t>Oranges</t>
  </si>
  <si>
    <t>Kiwi</t>
  </si>
  <si>
    <t xml:space="preserve">Fruits bio </t>
  </si>
  <si>
    <t>Yaourts conventionnels</t>
  </si>
  <si>
    <t>Yaourt nature</t>
  </si>
  <si>
    <t>Yaourt aux fruits</t>
  </si>
  <si>
    <t>Yaourts bio</t>
  </si>
  <si>
    <t>Yaourt nature bio</t>
  </si>
  <si>
    <t>Yaourt aux fruits bio</t>
  </si>
  <si>
    <t>Yaourts conventionnels en grand conditionnement (5 KG)</t>
  </si>
  <si>
    <t>Yaourt en seau</t>
  </si>
  <si>
    <t>Yaourts vegan bio</t>
  </si>
  <si>
    <t>Yaourt au soja bio</t>
  </si>
  <si>
    <t>Entremets lactés conventionnels et « industriels »</t>
  </si>
  <si>
    <t>Pudding vanille</t>
  </si>
  <si>
    <t>Flan au caramel</t>
  </si>
  <si>
    <t>Crème dessert chocolat</t>
  </si>
  <si>
    <t>Riz au lait</t>
  </si>
  <si>
    <t>Entremets lactés maison</t>
  </si>
  <si>
    <t>Pudding vanille maison</t>
  </si>
  <si>
    <t>Pudding chocolat maison</t>
  </si>
  <si>
    <t>Desserts autres (pâtisseries, glaces) industriels</t>
  </si>
  <si>
    <t>Cake au beurre (emballage individuel)</t>
  </si>
  <si>
    <t>Frangipane (emabllage individuel)</t>
  </si>
  <si>
    <t>Desserts autres (pâtisseries, glaces) maison</t>
  </si>
  <si>
    <t>Quatre-quart aux pommes maison</t>
  </si>
  <si>
    <t>Clafoutis aux cerises</t>
  </si>
  <si>
    <t>MOYENNES</t>
  </si>
  <si>
    <t xml:space="preserve">Ce tableau ne doit pas faire l’object de modifications sous risque de fausser le calcul du food cost. </t>
  </si>
  <si>
    <t>Coût moyen (€/kg)</t>
  </si>
  <si>
    <t>Légumes conventionnels (frais et surgelés)</t>
  </si>
  <si>
    <t>Légumes bio (frais et surgelés)</t>
  </si>
  <si>
    <r>
      <rPr>
        <sz val="12"/>
        <color theme="1"/>
        <rFont val="Calibri"/>
        <family val="2"/>
        <scheme val="minor"/>
      </rPr>
      <t>Légumes frais 4</t>
    </r>
    <r>
      <rPr>
        <vertAlign val="superscript"/>
        <sz val="10"/>
        <rFont val="Arial"/>
        <family val="2"/>
        <charset val="1"/>
      </rPr>
      <t>e</t>
    </r>
    <r>
      <rPr>
        <sz val="12"/>
        <color theme="1"/>
        <rFont val="Calibri"/>
        <family val="2"/>
        <scheme val="minor"/>
      </rPr>
      <t xml:space="preserve"> gamme conventionnels </t>
    </r>
  </si>
  <si>
    <r>
      <rPr>
        <sz val="12"/>
        <color theme="1"/>
        <rFont val="Calibri"/>
        <family val="2"/>
        <scheme val="minor"/>
      </rPr>
      <t>Légumes frais 4</t>
    </r>
    <r>
      <rPr>
        <vertAlign val="superscript"/>
        <sz val="10"/>
        <rFont val="Arial"/>
        <family val="2"/>
        <charset val="1"/>
      </rPr>
      <t>e</t>
    </r>
    <r>
      <rPr>
        <sz val="12"/>
        <color theme="1"/>
        <rFont val="Calibri"/>
        <family val="2"/>
        <scheme val="minor"/>
      </rPr>
      <t xml:space="preserve"> gamme bio</t>
    </r>
  </si>
  <si>
    <t>Yaourts vegan</t>
  </si>
  <si>
    <t>AUTRES CALCULS : légumes offre actuelle (congelé)</t>
  </si>
  <si>
    <t>AUTRES CALCULS : légumes offre actuelle (4ième gamme)</t>
  </si>
  <si>
    <t>Résultat final (choix entre congelé ou 4ième gamme)</t>
  </si>
  <si>
    <t>Légumes frais (calcul prix moyenne légumes frais)</t>
  </si>
  <si>
    <t>Légumes bio (calcul prix moyenne légumes bio)</t>
  </si>
  <si>
    <t>Légumes Bio/frais (lequel est le plus grand)</t>
  </si>
  <si>
    <t>calcul si brut&gt;bio</t>
  </si>
  <si>
    <t>calcul si frais&gt;brut</t>
  </si>
  <si>
    <t>AUTRES CALCULS : offre souhaitée (congelé)</t>
  </si>
  <si>
    <t>AUTRES CALCULS : offre souhaitée (4ième gamme)</t>
  </si>
  <si>
    <t>FOOD COST MOYEN JOURNALIER D’UN REPAS COMPLET</t>
  </si>
  <si>
    <t>Maternelle</t>
  </si>
  <si>
    <t>Primaire</t>
  </si>
  <si>
    <t>Adulte</t>
  </si>
  <si>
    <t>Légumes soupe</t>
  </si>
  <si>
    <t>Plat principal</t>
  </si>
  <si>
    <t xml:space="preserve">Féculents secs </t>
  </si>
  <si>
    <t>Pommes de terre</t>
  </si>
  <si>
    <t>Dessert</t>
  </si>
  <si>
    <t>Fruit</t>
  </si>
  <si>
    <t>Yaourt individuel</t>
  </si>
  <si>
    <t>Yaourt vegan</t>
  </si>
  <si>
    <t>Yaourt grand conditionnement</t>
  </si>
  <si>
    <t>Autres (pâtisseries et glaces)</t>
  </si>
  <si>
    <t>Desserts maison</t>
  </si>
  <si>
    <t>Total des desserts</t>
  </si>
  <si>
    <t>Totals des desserts</t>
  </si>
  <si>
    <t>Overhead**</t>
  </si>
  <si>
    <t>Total du food cost</t>
  </si>
  <si>
    <t xml:space="preserve">NB : Si vous gardez les grammages pré-encodés, il est possible que le food cost d’un repas prégardiennat soit légèrement inférieur à celui d’un maternelle en raison des grammages de 
référence. Il est donc important que vous puissiez les adapter à la réalité de votre structure. </t>
  </si>
  <si>
    <t>Résumé de l’offre actuelle</t>
  </si>
  <si>
    <t>Résumé de l’offre souhaitée</t>
  </si>
  <si>
    <t>Entrée</t>
  </si>
  <si>
    <t>Total avec overhead</t>
  </si>
  <si>
    <r>
      <rPr>
        <b/>
        <sz val="26"/>
        <color rgb="FFFFFFFF"/>
        <rFont val="Arial"/>
        <family val="2"/>
        <charset val="1"/>
      </rPr>
      <t>CALCULATEUR DE FOOD COST</t>
    </r>
    <r>
      <rPr>
        <b/>
        <sz val="20"/>
        <color rgb="FFFFFFFF"/>
        <rFont val="Arial"/>
        <family val="2"/>
        <charset val="1"/>
      </rPr>
      <t xml:space="preserve"> </t>
    </r>
    <r>
      <rPr>
        <b/>
        <sz val="26"/>
        <color rgb="FFFFFFFF"/>
        <rFont val="Arial"/>
        <family val="2"/>
        <charset val="1"/>
      </rPr>
      <t xml:space="preserve">– SYNTHÈSE
</t>
    </r>
    <r>
      <rPr>
        <b/>
        <sz val="16"/>
        <color rgb="FFFFFFFF"/>
        <rFont val="Arial"/>
        <family val="2"/>
        <charset val="1"/>
      </rPr>
      <t>(COÛT DENRÉE MOYEN D’UN REPAS)</t>
    </r>
  </si>
  <si>
    <t>COMPARAISON DES FOOD COST DE L’OFFRE ACTUELLE ET DE L’OFFRE SOUHAITÉE</t>
  </si>
  <si>
    <t>Différence entre l’offre actuelle et l’offre souhaitée</t>
  </si>
  <si>
    <t>Résumé des modifications entre l’offre actuelle et l’offre souhaitée</t>
  </si>
  <si>
    <t xml:space="preserve">Résumé des modifications </t>
  </si>
  <si>
    <t xml:space="preserve">Ai-je modifié le nombre de repas à base de viande ? </t>
  </si>
  <si>
    <t xml:space="preserve">Ai-je modifié le nombre de poisson par mois ? </t>
  </si>
  <si>
    <t xml:space="preserve">Ai-je réduit le gaspillage alimentaire ? </t>
  </si>
  <si>
    <t>COÛT ANNUEL DES REPAS</t>
  </si>
  <si>
    <t xml:space="preserve">Remplissez les différentes cellules jaunes afin de déterminer votre coût moyen des repas par an. </t>
  </si>
  <si>
    <t>Nombre de repas par jour</t>
  </si>
  <si>
    <t>Coût des repas par jour</t>
  </si>
  <si>
    <t>Coût annuel des repas</t>
  </si>
  <si>
    <t>Coût annuel des repas ajusté aux économies liées à la réduction du gaspillage</t>
  </si>
  <si>
    <t>Pour obtenir les résultats, il est indisepnsable d’avoir complété la feuille 1) Feuille d’encodage avec le nombre de jours d’ouverture de la cantine par an.</t>
  </si>
  <si>
    <t>TABLEAU DES PRIX ET FRÉQUENCES</t>
  </si>
  <si>
    <r>
      <rPr>
        <b/>
        <sz val="10"/>
        <rFont val="Arial"/>
        <family val="2"/>
        <charset val="1"/>
      </rPr>
      <t>Méthode de calcul des coûts moyens des ingrédients</t>
    </r>
    <r>
      <rPr>
        <sz val="12"/>
        <color theme="1"/>
        <rFont val="Calibri"/>
        <family val="2"/>
        <scheme val="minor"/>
      </rPr>
      <t xml:space="preserve"> : Estimation du coût moyen par kg de chaque composant d’un repas : VVPO – légumes – féculents – desserts. 
Pour chaque fraction, nous regardons les coûts des ingrédients les plus utilisés. Nous évaluons la fréquence de chacun d’entre eux sur un menu de 4 semaines avec 5 jours de repas par semaine (20 jours au total). De cette manière, nous pouvons retirer un prix moyen de chaque fraction.</t>
    </r>
  </si>
  <si>
    <t>Prix au kilo</t>
  </si>
  <si>
    <t>Facteur de correction</t>
  </si>
  <si>
    <t>Fréquence</t>
  </si>
  <si>
    <t>Coût x correction x fréquence</t>
  </si>
  <si>
    <t>Viandes rouges (bœuf, agneau,…)</t>
  </si>
  <si>
    <t>Volailles (poulet, dinde,…)</t>
  </si>
  <si>
    <t>Viandes blanches (porc, veau,…)</t>
  </si>
  <si>
    <t>Viandes hachées</t>
  </si>
  <si>
    <t xml:space="preserve"> FREQUENCE</t>
  </si>
  <si>
    <t>Coût moyen des viandes (/kg)</t>
  </si>
  <si>
    <t>Poissons</t>
  </si>
  <si>
    <t>Coût moyen des poissons (/kg)</t>
  </si>
  <si>
    <t>Alternatives végétariennes</t>
  </si>
  <si>
    <t>Lamelles de Quorn</t>
  </si>
  <si>
    <t>Coût moyen des alternatives végétales (/kg)</t>
  </si>
  <si>
    <t>TOTAL FREQUENCE</t>
  </si>
  <si>
    <t>LEGUMES CONVENTIONNELS</t>
  </si>
  <si>
    <t>LÉGUMES BIO</t>
  </si>
  <si>
    <r>
      <rPr>
        <b/>
        <sz val="10"/>
        <rFont val="Arial"/>
        <family val="2"/>
        <charset val="1"/>
      </rPr>
      <t>Méthode/hypothèses</t>
    </r>
    <r>
      <rPr>
        <sz val="12"/>
        <color theme="1"/>
        <rFont val="Calibri"/>
        <family val="2"/>
        <scheme val="minor"/>
      </rPr>
      <t xml:space="preserve"> : Nous calculons ici 4 coûts moyens : pour les légumes congelés (conventionnels – bio) et pour les légumes frais (conventionnels – bio). 
</t>
    </r>
    <r>
      <rPr>
        <sz val="10"/>
        <color rgb="FF000000"/>
        <rFont val="Arial"/>
        <family val="2"/>
        <charset val="1"/>
      </rPr>
      <t xml:space="preserve">– Coût au kilo : source de Vanderzijpen et T’sas.
</t>
    </r>
    <r>
      <rPr>
        <sz val="12"/>
        <color theme="1"/>
        <rFont val="Calibri"/>
        <family val="2"/>
        <scheme val="minor"/>
      </rPr>
      <t>– Facteur de correction : pour les surgelés pertes d’environ 20 % mais pour les frais lié à la congélation, pour les légumes frais il faut tenir en compte les pertes d’épluchage et de parties non comestibles =&gt; commandes plus importantes que les grammages</t>
    </r>
  </si>
  <si>
    <t>LEGUMES SURGELÉS CONVENTIONNELS</t>
  </si>
  <si>
    <t>LÉGUMES SURGELÉS BIO</t>
  </si>
  <si>
    <t>Carottes en rondelles bio</t>
  </si>
  <si>
    <t>Céleris-verts bio</t>
  </si>
  <si>
    <t>Coût moyen des légumes surgelés conventionnels (/kg)</t>
  </si>
  <si>
    <t>Coût moyen des légumes surgelés bio</t>
  </si>
  <si>
    <t>LÉGUMES FRAIS BRUTS CONVENTIONNELS</t>
  </si>
  <si>
    <t>LÉGUMES FRAIS BRUTS BIO</t>
  </si>
  <si>
    <t>Coût moyen des légumes frais bruts conventionnels (/kg)</t>
  </si>
  <si>
    <t>Coût moyen des légumes frais bruts bio</t>
  </si>
  <si>
    <t>LÉGUMES FRAIS 4E GAMME CONVENTIONNELS</t>
  </si>
  <si>
    <t>LÉGUMES FRAIS 4E GAMME BIO</t>
  </si>
  <si>
    <r>
      <rPr>
        <sz val="12"/>
        <color theme="1"/>
        <rFont val="Calibri"/>
        <family val="2"/>
        <scheme val="minor"/>
      </rPr>
      <t>Coût moyen des légumes frais 4</t>
    </r>
    <r>
      <rPr>
        <vertAlign val="superscript"/>
        <sz val="10"/>
        <rFont val="Arial"/>
        <family val="2"/>
        <charset val="1"/>
      </rPr>
      <t>e</t>
    </r>
    <r>
      <rPr>
        <sz val="12"/>
        <color theme="1"/>
        <rFont val="Calibri"/>
        <family val="2"/>
        <scheme val="minor"/>
      </rPr>
      <t xml:space="preserve"> gamme conventionnels (/kg)</t>
    </r>
  </si>
  <si>
    <r>
      <rPr>
        <sz val="12"/>
        <color theme="1"/>
        <rFont val="Calibri"/>
        <family val="2"/>
        <scheme val="minor"/>
      </rPr>
      <t>Coût moyen des légumes frais 4</t>
    </r>
    <r>
      <rPr>
        <vertAlign val="superscript"/>
        <sz val="10"/>
        <rFont val="Arial"/>
        <family val="2"/>
        <charset val="1"/>
      </rPr>
      <t>e</t>
    </r>
    <r>
      <rPr>
        <sz val="12"/>
        <color theme="1"/>
        <rFont val="Calibri"/>
        <family val="2"/>
        <scheme val="minor"/>
      </rPr>
      <t xml:space="preserve"> gamme bio</t>
    </r>
  </si>
  <si>
    <t>Coût moyen des légumes conventionnels (frais et congelés) (/kg)</t>
  </si>
  <si>
    <t>Coût moyen des légumes bio (frais et congelés)</t>
  </si>
  <si>
    <t>FÉCULENTS BIO</t>
  </si>
  <si>
    <r>
      <rPr>
        <b/>
        <sz val="10"/>
        <rFont val="Arial"/>
        <family val="2"/>
        <charset val="1"/>
      </rPr>
      <t>Méthode/hypothèses</t>
    </r>
    <r>
      <rPr>
        <sz val="12"/>
        <color theme="1"/>
        <rFont val="Calibri"/>
        <family val="2"/>
        <scheme val="minor"/>
      </rPr>
      <t xml:space="preserve"> :  /!\ on sépare ici les féculents secs des pommes de terre car les grammages ne sont pas identiques. Cela sera pris en compte dans le calcul final (sur 4 semaines : 12 fois féculents secs et 8 fois pommes de terre =&gt; coût moyen féculents = 60% coût féculents secs et 40% pommes de terre) 
– Coût au kilo :  données provenant d’un marché public d’une commune + Java 
– Prix conventionnels (pour info : bio pas beaucoup plus cher) 
– Facteur de correction : pas de correction ici – fréquence : combien de fois ce féculent est utilisé sur 4 semaines</t>
    </r>
  </si>
  <si>
    <t>FÉCULENTS SECS CONVENTIONNELS</t>
  </si>
  <si>
    <t>FÉCULENTS SECS BIO</t>
  </si>
  <si>
    <t>FREQUENCE</t>
  </si>
  <si>
    <t>Coût moyen des féculents conventionnels (/kg)</t>
  </si>
  <si>
    <t>Coût moyen des féculents secs bio</t>
  </si>
  <si>
    <t>POMMES DE TERRE CONVENTIONNELLES</t>
  </si>
  <si>
    <t>POMMES DE TERRE BIO</t>
  </si>
  <si>
    <t>Coût moyen des pommes de terre conventionnelles (/kg)</t>
  </si>
  <si>
    <t>Coût moyen des pommes de terre bio</t>
  </si>
  <si>
    <t>DESSERTS CONVENTIONNELS</t>
  </si>
  <si>
    <t>DESSERTS BIO</t>
  </si>
  <si>
    <r>
      <rPr>
        <b/>
        <sz val="10"/>
        <rFont val="Arial"/>
        <family val="2"/>
        <charset val="1"/>
      </rPr>
      <t>Méthode/hypothèses</t>
    </r>
    <r>
      <rPr>
        <sz val="12"/>
        <color theme="1"/>
        <rFont val="Calibri"/>
        <family val="2"/>
        <scheme val="minor"/>
      </rPr>
      <t xml:space="preserve"> : Nous calculons ici 2 coûts moyens : pour les fruits conventionnels et pour les fruits bio.
– Coût au kilo : source : T’SAS (prix juillet 2020) 
– Prix moyens sur plusieurs sélections</t>
    </r>
  </si>
  <si>
    <t>FRUITS CONVENTIONNELS</t>
  </si>
  <si>
    <t>FRUITS BIO</t>
  </si>
  <si>
    <t>Coût moyen des fruits conventionnels (/kg)</t>
  </si>
  <si>
    <t>Coût moyen des fruits bio</t>
  </si>
  <si>
    <t>YAOURTS CONVENTIONNELS</t>
  </si>
  <si>
    <t>YAOURTS BIO</t>
  </si>
  <si>
    <t>Coût moyen des yaourts conventionnels (/kg)</t>
  </si>
  <si>
    <t>Coût moyen des yaourts bio</t>
  </si>
  <si>
    <t>YAOURTS CONVENTIONNELS EN GRAND CONDITIONNEMENT</t>
  </si>
  <si>
    <t>YAOURTS VEGAN BIO</t>
  </si>
  <si>
    <t>Coût moyen des yaourts conventionnels en seau (/kg)</t>
  </si>
  <si>
    <t>Coût moyen des yaourts vegan bio</t>
  </si>
  <si>
    <t>ENTREMETS LACTÉS CONVENTIONNELS</t>
  </si>
  <si>
    <t>ENTREMETS LACTÉS MAISON</t>
  </si>
  <si>
    <t>Coût moyen entremets lactés conventionnels (/kg)</t>
  </si>
  <si>
    <t>AUTRES : PATISSERIES/GLACES INDUSTRIELS</t>
  </si>
  <si>
    <t>AUTRES : DESSERTS MAISON : ENTREMETS LACTÉS/PATISSERIES/GLACES MAISON</t>
  </si>
  <si>
    <t>Frangipane (emballage individuel)</t>
  </si>
  <si>
    <t>Coût moyen desserts autres (/kg)</t>
  </si>
  <si>
    <t>Coût moyen desserts maison (/kg)</t>
  </si>
  <si>
    <t>Coût moyen desserts (/kg)</t>
  </si>
  <si>
    <t>GRAPHES</t>
  </si>
  <si>
    <t>TOTAL</t>
  </si>
  <si>
    <t>TOTAL PLAT</t>
  </si>
  <si>
    <t>Plat (+overhead)</t>
  </si>
  <si>
    <t>Graphe 1</t>
  </si>
  <si>
    <t>Répartition du food cost selon soupe/plat/dessert de l’offre actuelle</t>
  </si>
  <si>
    <t>Répartition du food cost selon soupe/plat/dessert de l’offre souhaitée</t>
  </si>
  <si>
    <t>TOTAL (euros)</t>
  </si>
  <si>
    <t>TOTAL %</t>
  </si>
  <si>
    <t>Plat principal avec overhead</t>
  </si>
  <si>
    <t xml:space="preserve">Graphe 2 </t>
  </si>
  <si>
    <t>Répartition du food cost selon les composants du plat principal de l'offre actuelle</t>
  </si>
  <si>
    <t>Répartition du food cost selon les composants du plat principal de l'offre souhaitée</t>
  </si>
  <si>
    <t>VVPOAV</t>
  </si>
  <si>
    <t>Overheid</t>
  </si>
  <si>
    <t xml:space="preserve">Potirons  </t>
  </si>
  <si>
    <r>
      <t>Méthode/hypothèses</t>
    </r>
    <r>
      <rPr>
        <sz val="12"/>
        <color theme="1"/>
        <rFont val="Calibri"/>
        <family val="2"/>
        <scheme val="minor"/>
      </rPr>
      <t xml:space="preserve"> : 
– Coût au kilo : nous tirons nos sources de Solutious (prix à février 2023) et Aventure Bio (pour les produits secs BIO) – nous avons pris des viandes non bio, des poissons MSC et des protéines végétales bio et conventionnelles. 
– Facteur de correction : nous avons ajouté un facteur de correction aux poissons car ceux-ci étant congelés, il faut commander de plus grands grammages pour arriver aux grammages recommandés pour les repas. Nous estimons qu’il y a environ 20% de pertes. Il faut commander 20% de plus. Nous avons également ajouté un facteur de correction pour les carbonnades sinon la portion de viande est trop faible pour ce type de repas.  
– Fréquence : combien de fois ce VVPO est utilisé sur 4 semaines (1 repas végétarien/semaine et 1 repas poisson/semaine)</t>
    </r>
  </si>
  <si>
    <r>
      <t xml:space="preserve">Les prix pré-encodés sont les prix reçus des fournisseurs suivants : Solucious et Aventure BIO (Février 2023).
</t>
    </r>
    <r>
      <rPr>
        <i/>
        <sz val="10"/>
        <rFont val="Arial"/>
        <family val="2"/>
        <charset val="1"/>
      </rPr>
      <t xml:space="preserve">Vous voulez des prix adaptés à votre site ? 
</t>
    </r>
    <r>
      <rPr>
        <sz val="12"/>
        <color theme="1"/>
        <rFont val="Calibri"/>
        <family val="2"/>
        <scheme val="minor"/>
      </rPr>
      <t xml:space="preserve">Vous pouvez adapter les prix mentionnés dans les cellules jaunes. 
</t>
    </r>
    <r>
      <rPr>
        <b/>
        <sz val="10"/>
        <rFont val="Arial"/>
        <family val="2"/>
        <charset val="1"/>
      </rPr>
      <t xml:space="preserve">Vous effacez le prix mentionné et vous le remplacez par le vôtre. 
</t>
    </r>
    <r>
      <rPr>
        <sz val="12"/>
        <color theme="1"/>
        <rFont val="Calibri"/>
        <family val="2"/>
        <scheme val="minor"/>
      </rPr>
      <t xml:space="preserve">
</t>
    </r>
    <r>
      <rPr>
        <i/>
        <sz val="10"/>
        <rFont val="Arial"/>
        <family val="2"/>
        <charset val="1"/>
      </rPr>
      <t xml:space="preserve">Vous n’avez pas forcément besoin de réaliser l’exercice avec vos prix ?
</t>
    </r>
    <r>
      <rPr>
        <sz val="12"/>
        <color theme="1"/>
        <rFont val="Calibri"/>
        <family val="2"/>
        <scheme val="minor"/>
      </rPr>
      <t xml:space="preserve">Des prix moyens ont été pré-encodés afin de vous faciliter la tâche, </t>
    </r>
    <r>
      <rPr>
        <b/>
        <sz val="10"/>
        <rFont val="Arial"/>
        <family val="2"/>
        <charset val="1"/>
      </rPr>
      <t xml:space="preserve">ne touchez à rien.  
</t>
    </r>
    <r>
      <rPr>
        <sz val="12"/>
        <color theme="1"/>
        <rFont val="Calibri"/>
        <family val="2"/>
        <scheme val="minor"/>
      </rPr>
      <t xml:space="preserve">
Attention, si vous ne connaissez pas le prix d’une denrée, à nouveau, ne touchez à rien et laissez le prix indiqué dans la cellule jaune.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</si>
</sst>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0.0"/>
    <numFmt numFmtId="166" formatCode="#,##0.0"/>
    <numFmt numFmtId="167" formatCode="#,##0.00\ [$€-80C];[Red]\-#,##0.00\ [$€-80C]"/>
    <numFmt numFmtId="168" formatCode="#,##0.00\ [$€-813];[Red]\-#,##0.00\ [$€-813]"/>
    <numFmt numFmtId="169" formatCode="#,##0.00\ [$€-803];[Red]\-#,##0.00\ [$€-803]"/>
    <numFmt numFmtId="170" formatCode="[$-409]0%"/>
    <numFmt numFmtId="171" formatCode="[Green]\+#,##0.00\ [$€-813];[Red]\-#,##0.00\ [$€-813]"/>
    <numFmt numFmtId="172" formatCode="0.0%"/>
    <numFmt numFmtId="173" formatCode="[$€-813]\ #,##0.00;[Red][$€-813]\ \-#,##0.00"/>
  </numFmts>
  <fonts count="29" x14ac:knownFonts="1">
    <font>
      <sz val="12"/>
      <color theme="1"/>
      <name val="Calibri"/>
      <family val="2"/>
      <scheme val="minor"/>
    </font>
    <font>
      <b/>
      <sz val="26"/>
      <color rgb="FFFFFFFF"/>
      <name val="Arial"/>
      <family val="2"/>
      <charset val="1"/>
    </font>
    <font>
      <b/>
      <sz val="20"/>
      <color rgb="FFFFFFFF"/>
      <name val="Arial"/>
      <family val="2"/>
      <charset val="1"/>
    </font>
    <font>
      <b/>
      <sz val="16"/>
      <color rgb="FFFFFFFF"/>
      <name val="Arial"/>
      <family val="2"/>
      <charset val="1"/>
    </font>
    <font>
      <b/>
      <sz val="14"/>
      <color rgb="FFFFFFFF"/>
      <name val="Arial"/>
      <family val="2"/>
      <charset val="1"/>
    </font>
    <font>
      <sz val="10"/>
      <color rgb="FF000000"/>
      <name val="Arial"/>
      <family val="2"/>
      <charset val="1"/>
    </font>
    <font>
      <b/>
      <sz val="12"/>
      <color rgb="FF000000"/>
      <name val="Arial"/>
      <family val="2"/>
      <charset val="1"/>
    </font>
    <font>
      <b/>
      <sz val="10"/>
      <color rgb="FF000000"/>
      <name val="Arial"/>
      <family val="2"/>
      <charset val="1"/>
    </font>
    <font>
      <i/>
      <sz val="10"/>
      <color rgb="FF000000"/>
      <name val="Arial"/>
      <family val="2"/>
      <charset val="1"/>
    </font>
    <font>
      <b/>
      <sz val="10"/>
      <name val="Arial"/>
      <family val="2"/>
      <charset val="1"/>
    </font>
    <font>
      <i/>
      <sz val="10"/>
      <name val="Arial"/>
      <family val="2"/>
      <charset val="1"/>
    </font>
    <font>
      <b/>
      <i/>
      <sz val="10"/>
      <color rgb="FF000000"/>
      <name val="Arial"/>
      <family val="2"/>
      <charset val="1"/>
    </font>
    <font>
      <b/>
      <sz val="12"/>
      <name val="Arial"/>
      <family val="2"/>
      <charset val="1"/>
    </font>
    <font>
      <b/>
      <sz val="14"/>
      <color rgb="FF00599D"/>
      <name val="Arial"/>
      <family val="2"/>
      <charset val="1"/>
    </font>
    <font>
      <b/>
      <sz val="12"/>
      <color rgb="FFFFFFFF"/>
      <name val="Arial"/>
      <family val="2"/>
      <charset val="1"/>
    </font>
    <font>
      <sz val="8"/>
      <color rgb="FF407927"/>
      <name val="Arial"/>
      <family val="2"/>
      <charset val="1"/>
    </font>
    <font>
      <i/>
      <sz val="8"/>
      <name val="Arial"/>
      <family val="2"/>
      <charset val="1"/>
    </font>
    <font>
      <b/>
      <sz val="14"/>
      <name val="Arial"/>
      <family val="2"/>
      <charset val="1"/>
    </font>
    <font>
      <b/>
      <sz val="10"/>
      <color rgb="FF00A933"/>
      <name val="Arial"/>
      <family val="2"/>
      <charset val="1"/>
    </font>
    <font>
      <sz val="8"/>
      <name val="Arial"/>
      <family val="2"/>
      <charset val="1"/>
    </font>
    <font>
      <vertAlign val="superscript"/>
      <sz val="10"/>
      <name val="Arial"/>
      <family val="2"/>
      <charset val="1"/>
    </font>
    <font>
      <b/>
      <sz val="9"/>
      <color rgb="FF00A933"/>
      <name val="Arial"/>
      <family val="2"/>
      <charset val="1"/>
    </font>
    <font>
      <sz val="9"/>
      <color rgb="FF00A933"/>
      <name val="Arial"/>
      <family val="2"/>
      <charset val="1"/>
    </font>
    <font>
      <sz val="11"/>
      <name val="Arial"/>
      <family val="2"/>
      <charset val="1"/>
    </font>
    <font>
      <sz val="8"/>
      <color rgb="FF000000"/>
      <name val="Arial"/>
      <family val="2"/>
      <charset val="1"/>
    </font>
    <font>
      <b/>
      <vertAlign val="superscript"/>
      <sz val="10"/>
      <name val="Arial"/>
      <family val="2"/>
      <charset val="1"/>
    </font>
    <font>
      <sz val="12"/>
      <name val="Arial"/>
      <family val="2"/>
      <charset val="1"/>
    </font>
    <font>
      <b/>
      <sz val="11"/>
      <name val="Arial"/>
      <family val="2"/>
      <charset val="1"/>
    </font>
    <font>
      <sz val="12"/>
      <color theme="1"/>
      <name val="Calibri"/>
      <family val="2"/>
      <scheme val="minor"/>
    </font>
  </fonts>
  <fills count="18">
    <fill>
      <patternFill patternType="none"/>
    </fill>
    <fill>
      <patternFill patternType="gray125"/>
    </fill>
    <fill>
      <patternFill patternType="solid">
        <fgColor rgb="FF00A933"/>
        <bgColor rgb="FF158466"/>
      </patternFill>
    </fill>
    <fill>
      <patternFill patternType="solid">
        <fgColor rgb="FFB2B2B2"/>
        <bgColor rgb="FF999999"/>
      </patternFill>
    </fill>
    <fill>
      <patternFill patternType="solid">
        <fgColor rgb="FFFFF200"/>
        <bgColor rgb="FFFFFF00"/>
      </patternFill>
    </fill>
    <fill>
      <patternFill patternType="solid">
        <fgColor rgb="FFFFFFFF"/>
        <bgColor rgb="FFEEEEEE"/>
      </patternFill>
    </fill>
    <fill>
      <patternFill patternType="solid">
        <fgColor rgb="FFFFFFA6"/>
        <bgColor rgb="FFEEEEEE"/>
      </patternFill>
    </fill>
    <fill>
      <patternFill patternType="solid">
        <fgColor rgb="FFBF819E"/>
        <bgColor rgb="FF999999"/>
      </patternFill>
    </fill>
    <fill>
      <patternFill patternType="solid">
        <fgColor rgb="FFFF8000"/>
        <bgColor rgb="FFFF860D"/>
      </patternFill>
    </fill>
    <fill>
      <patternFill patternType="solid">
        <fgColor rgb="FF81D41A"/>
        <bgColor rgb="FF72BF44"/>
      </patternFill>
    </fill>
    <fill>
      <patternFill patternType="solid">
        <fgColor rgb="FF729FCF"/>
        <bgColor rgb="FF999999"/>
      </patternFill>
    </fill>
    <fill>
      <patternFill patternType="solid">
        <fgColor rgb="FF72BF44"/>
        <bgColor rgb="FF81D41A"/>
      </patternFill>
    </fill>
    <fill>
      <patternFill patternType="solid">
        <fgColor rgb="FFEEEEEE"/>
        <bgColor rgb="FFFFFFFF"/>
      </patternFill>
    </fill>
    <fill>
      <patternFill patternType="solid">
        <fgColor rgb="FFDDDDDD"/>
        <bgColor rgb="FFD0D0D0"/>
      </patternFill>
    </fill>
    <fill>
      <patternFill patternType="solid">
        <fgColor rgb="FFFF972F"/>
        <bgColor rgb="FFFF860D"/>
      </patternFill>
    </fill>
    <fill>
      <patternFill patternType="solid">
        <fgColor rgb="FFD0D0D0"/>
        <bgColor rgb="FFCCCCCC"/>
      </patternFill>
    </fill>
    <fill>
      <patternFill patternType="solid">
        <fgColor rgb="FFCCCCCC"/>
        <bgColor rgb="FFD0D0D0"/>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rgb="FF666666"/>
      </bottom>
      <diagonal/>
    </border>
    <border>
      <left style="hair">
        <color rgb="FF999999"/>
      </left>
      <right style="hair">
        <color rgb="FF999999"/>
      </right>
      <top style="hair">
        <color rgb="FF999999"/>
      </top>
      <bottom style="hair">
        <color rgb="FF999999"/>
      </bottom>
      <diagonal/>
    </border>
    <border>
      <left style="hair">
        <color auto="1"/>
      </left>
      <right style="hair">
        <color auto="1"/>
      </right>
      <top style="hair">
        <color auto="1"/>
      </top>
      <bottom style="hair">
        <color auto="1"/>
      </bottom>
      <diagonal/>
    </border>
  </borders>
  <cellStyleXfs count="2">
    <xf numFmtId="0" fontId="0" fillId="0" borderId="0"/>
    <xf numFmtId="9" fontId="28" fillId="0" borderId="0" applyFont="0" applyFill="0" applyBorder="0" applyAlignment="0" applyProtection="0"/>
  </cellStyleXfs>
  <cellXfs count="211">
    <xf numFmtId="0" fontId="0" fillId="0" borderId="0" xfId="0"/>
    <xf numFmtId="0" fontId="0" fillId="0" borderId="2" xfId="0" applyBorder="1"/>
    <xf numFmtId="0" fontId="0" fillId="0" borderId="3" xfId="0" applyBorder="1"/>
    <xf numFmtId="0" fontId="0" fillId="0" borderId="0" xfId="0" applyAlignment="1">
      <alignment vertical="top"/>
    </xf>
    <xf numFmtId="0" fontId="5" fillId="0" borderId="2" xfId="0" applyFont="1" applyBorder="1" applyAlignment="1">
      <alignment horizontal="left" vertical="top" wrapText="1" indent="1"/>
    </xf>
    <xf numFmtId="0" fontId="0" fillId="0" borderId="3" xfId="0" applyBorder="1" applyAlignment="1">
      <alignment vertical="top"/>
    </xf>
    <xf numFmtId="0" fontId="0" fillId="0" borderId="2" xfId="0" applyBorder="1" applyAlignment="1">
      <alignment horizontal="left" vertical="top" wrapText="1" indent="1"/>
    </xf>
    <xf numFmtId="0" fontId="0" fillId="0" borderId="0" xfId="0" applyAlignment="1">
      <alignment horizontal="center"/>
    </xf>
    <xf numFmtId="0" fontId="0" fillId="0" borderId="0" xfId="0" applyAlignment="1">
      <alignment vertical="center"/>
    </xf>
    <xf numFmtId="164" fontId="13" fillId="5" borderId="0" xfId="0" applyNumberFormat="1" applyFont="1" applyFill="1" applyAlignment="1" applyProtection="1">
      <alignment horizontal="left"/>
      <protection locked="0"/>
    </xf>
    <xf numFmtId="164" fontId="0" fillId="6" borderId="6" xfId="0" applyNumberFormat="1" applyFill="1" applyBorder="1" applyProtection="1">
      <protection locked="0"/>
    </xf>
    <xf numFmtId="0" fontId="0" fillId="0" borderId="6" xfId="0" applyBorder="1"/>
    <xf numFmtId="0" fontId="9" fillId="0" borderId="6" xfId="0" applyFont="1" applyBorder="1" applyAlignment="1">
      <alignment horizontal="center"/>
    </xf>
    <xf numFmtId="0" fontId="9" fillId="0" borderId="6" xfId="0" applyFont="1" applyBorder="1" applyAlignment="1">
      <alignment horizontal="center" vertical="center"/>
    </xf>
    <xf numFmtId="0" fontId="9" fillId="7" borderId="6" xfId="0" applyFont="1" applyFill="1" applyBorder="1" applyAlignment="1">
      <alignment horizontal="center" vertical="center"/>
    </xf>
    <xf numFmtId="164" fontId="0" fillId="6" borderId="6" xfId="0" applyNumberFormat="1" applyFill="1" applyBorder="1" applyAlignment="1" applyProtection="1">
      <alignment horizontal="right"/>
      <protection locked="0"/>
    </xf>
    <xf numFmtId="164" fontId="5" fillId="6" borderId="6" xfId="0" applyNumberFormat="1" applyFont="1" applyFill="1" applyBorder="1" applyProtection="1">
      <protection locked="0"/>
    </xf>
    <xf numFmtId="164" fontId="0" fillId="0" borderId="6" xfId="0" applyNumberFormat="1" applyBorder="1" applyProtection="1">
      <protection locked="0"/>
    </xf>
    <xf numFmtId="164" fontId="0" fillId="0" borderId="6" xfId="0" applyNumberFormat="1" applyBorder="1" applyAlignment="1" applyProtection="1">
      <alignment horizontal="right"/>
      <protection locked="0"/>
    </xf>
    <xf numFmtId="0" fontId="13" fillId="0" borderId="0" xfId="0" applyFont="1"/>
    <xf numFmtId="0" fontId="0" fillId="12" borderId="6" xfId="0" applyFill="1" applyBorder="1"/>
    <xf numFmtId="0" fontId="9" fillId="12" borderId="6" xfId="0" applyFont="1" applyFill="1" applyBorder="1" applyAlignment="1">
      <alignment horizontal="center"/>
    </xf>
    <xf numFmtId="0" fontId="9" fillId="12" borderId="6" xfId="0" applyFont="1" applyFill="1" applyBorder="1" applyAlignment="1">
      <alignment horizontal="center" vertical="center"/>
    </xf>
    <xf numFmtId="0" fontId="0" fillId="0" borderId="0" xfId="0" applyProtection="1">
      <protection locked="0"/>
    </xf>
    <xf numFmtId="164" fontId="0" fillId="12" borderId="6" xfId="0" applyNumberFormat="1" applyFill="1" applyBorder="1" applyProtection="1">
      <protection locked="0"/>
    </xf>
    <xf numFmtId="164" fontId="0" fillId="12" borderId="6" xfId="0" applyNumberFormat="1" applyFill="1" applyBorder="1" applyAlignment="1" applyProtection="1">
      <alignment horizontal="right"/>
      <protection locked="0"/>
    </xf>
    <xf numFmtId="164" fontId="15" fillId="0" borderId="0" xfId="0" applyNumberFormat="1" applyFont="1" applyProtection="1">
      <protection locked="0"/>
    </xf>
    <xf numFmtId="164" fontId="0" fillId="0" borderId="0" xfId="0" applyNumberFormat="1" applyProtection="1">
      <protection locked="0"/>
    </xf>
    <xf numFmtId="164" fontId="5" fillId="12" borderId="6" xfId="0" applyNumberFormat="1" applyFont="1" applyFill="1" applyBorder="1" applyProtection="1">
      <protection locked="0"/>
    </xf>
    <xf numFmtId="0" fontId="16" fillId="0" borderId="0" xfId="0" applyFont="1"/>
    <xf numFmtId="0" fontId="15" fillId="0" borderId="0" xfId="0" applyFont="1"/>
    <xf numFmtId="0" fontId="10" fillId="0" borderId="0" xfId="0" applyFont="1"/>
    <xf numFmtId="0" fontId="0" fillId="0" borderId="6" xfId="0" applyBorder="1" applyAlignment="1">
      <alignment vertical="center"/>
    </xf>
    <xf numFmtId="0" fontId="0" fillId="6" borderId="6" xfId="0" applyFill="1" applyBorder="1" applyProtection="1">
      <protection locked="0"/>
    </xf>
    <xf numFmtId="0" fontId="18" fillId="0" borderId="0" xfId="0" applyFont="1"/>
    <xf numFmtId="0" fontId="16" fillId="0" borderId="0" xfId="0" applyFont="1" applyAlignment="1">
      <alignment vertical="top" wrapText="1"/>
    </xf>
    <xf numFmtId="165" fontId="5" fillId="6" borderId="6" xfId="0" applyNumberFormat="1" applyFont="1" applyFill="1" applyBorder="1" applyProtection="1">
      <protection locked="0"/>
    </xf>
    <xf numFmtId="165" fontId="0" fillId="6" borderId="6" xfId="0" applyNumberFormat="1" applyFill="1" applyBorder="1" applyProtection="1">
      <protection locked="0"/>
    </xf>
    <xf numFmtId="3" fontId="0" fillId="6" borderId="6" xfId="0" applyNumberFormat="1" applyFill="1" applyBorder="1" applyProtection="1">
      <protection locked="0"/>
    </xf>
    <xf numFmtId="9" fontId="0" fillId="0" borderId="6" xfId="0" applyNumberFormat="1" applyBorder="1" applyProtection="1">
      <protection locked="0"/>
    </xf>
    <xf numFmtId="10" fontId="0" fillId="0" borderId="6" xfId="0" applyNumberFormat="1" applyBorder="1" applyProtection="1">
      <protection locked="0"/>
    </xf>
    <xf numFmtId="3" fontId="0" fillId="0" borderId="6" xfId="0" applyNumberFormat="1" applyBorder="1"/>
    <xf numFmtId="0" fontId="19" fillId="0" borderId="0" xfId="0" applyFont="1" applyAlignment="1">
      <alignment horizontal="center"/>
    </xf>
    <xf numFmtId="10" fontId="0" fillId="0" borderId="6" xfId="0" applyNumberFormat="1" applyBorder="1"/>
    <xf numFmtId="166" fontId="0" fillId="6" borderId="6" xfId="0" applyNumberFormat="1" applyFill="1" applyBorder="1" applyProtection="1">
      <protection locked="0"/>
    </xf>
    <xf numFmtId="10" fontId="0" fillId="0" borderId="0" xfId="0" applyNumberFormat="1" applyProtection="1">
      <protection locked="0"/>
    </xf>
    <xf numFmtId="0" fontId="0" fillId="0" borderId="6" xfId="0" applyBorder="1" applyAlignment="1">
      <alignment vertical="center" wrapText="1"/>
    </xf>
    <xf numFmtId="166" fontId="0" fillId="6" borderId="6" xfId="0" applyNumberFormat="1" applyFill="1" applyBorder="1" applyAlignment="1" applyProtection="1">
      <alignment horizontal="right"/>
      <protection locked="0"/>
    </xf>
    <xf numFmtId="10" fontId="0" fillId="0" borderId="0" xfId="0" applyNumberFormat="1"/>
    <xf numFmtId="0" fontId="21" fillId="0" borderId="0" xfId="0" applyFont="1"/>
    <xf numFmtId="0" fontId="0" fillId="0" borderId="0" xfId="0" applyAlignment="1" applyProtection="1">
      <alignment vertical="center"/>
      <protection locked="0"/>
    </xf>
    <xf numFmtId="0" fontId="23" fillId="0" borderId="6" xfId="0" applyFont="1" applyBorder="1" applyProtection="1">
      <protection locked="0"/>
    </xf>
    <xf numFmtId="0" fontId="23" fillId="0" borderId="6" xfId="0" applyFont="1" applyBorder="1" applyAlignment="1" applyProtection="1">
      <alignment wrapText="1"/>
      <protection locked="0"/>
    </xf>
    <xf numFmtId="0" fontId="5" fillId="0" borderId="6" xfId="0" applyFont="1" applyBorder="1" applyAlignment="1">
      <alignment horizontal="center" vertical="center"/>
    </xf>
    <xf numFmtId="0" fontId="24" fillId="0" borderId="0" xfId="0" applyFont="1"/>
    <xf numFmtId="0" fontId="5" fillId="0" borderId="6" xfId="0" applyFont="1" applyBorder="1" applyAlignment="1">
      <alignment horizontal="center" vertical="center" wrapText="1"/>
    </xf>
    <xf numFmtId="0" fontId="13" fillId="5" borderId="0" xfId="0" applyFont="1" applyFill="1" applyAlignment="1" applyProtection="1">
      <alignment horizontal="right"/>
      <protection locked="0"/>
    </xf>
    <xf numFmtId="167" fontId="0" fillId="6" borderId="6" xfId="0" applyNumberFormat="1" applyFill="1" applyBorder="1" applyAlignment="1" applyProtection="1">
      <alignment horizontal="right"/>
      <protection locked="0"/>
    </xf>
    <xf numFmtId="0" fontId="13" fillId="5" borderId="0" xfId="0" applyFont="1" applyFill="1" applyAlignment="1" applyProtection="1">
      <alignment horizontal="left"/>
      <protection locked="0"/>
    </xf>
    <xf numFmtId="167" fontId="0" fillId="0" borderId="6" xfId="0" applyNumberFormat="1" applyBorder="1" applyAlignment="1">
      <alignment horizontal="center" vertical="center"/>
    </xf>
    <xf numFmtId="167" fontId="0" fillId="12" borderId="6" xfId="0" applyNumberFormat="1" applyFill="1" applyBorder="1" applyAlignment="1" applyProtection="1">
      <alignment horizontal="right"/>
      <protection locked="0"/>
    </xf>
    <xf numFmtId="168" fontId="0" fillId="0" borderId="6" xfId="0" applyNumberFormat="1" applyBorder="1" applyAlignment="1">
      <alignment horizontal="center" vertical="center"/>
    </xf>
    <xf numFmtId="168" fontId="0" fillId="12" borderId="6" xfId="0" applyNumberFormat="1" applyFill="1" applyBorder="1" applyAlignment="1" applyProtection="1">
      <alignment horizontal="right" vertical="center"/>
      <protection locked="0"/>
    </xf>
    <xf numFmtId="168" fontId="0" fillId="6" borderId="6" xfId="0" applyNumberFormat="1" applyFill="1" applyBorder="1" applyAlignment="1" applyProtection="1">
      <alignment horizontal="right" vertical="center"/>
      <protection locked="0"/>
    </xf>
    <xf numFmtId="168" fontId="0" fillId="12" borderId="6" xfId="0" applyNumberFormat="1" applyFill="1" applyBorder="1" applyAlignment="1" applyProtection="1">
      <alignment horizontal="right"/>
      <protection locked="0"/>
    </xf>
    <xf numFmtId="168" fontId="0" fillId="6" borderId="6" xfId="0" applyNumberFormat="1" applyFill="1" applyBorder="1" applyAlignment="1" applyProtection="1">
      <alignment horizontal="right"/>
      <protection locked="0"/>
    </xf>
    <xf numFmtId="0" fontId="5" fillId="0" borderId="0" xfId="0" applyFont="1"/>
    <xf numFmtId="167" fontId="0" fillId="0" borderId="6" xfId="0" applyNumberFormat="1" applyBorder="1" applyAlignment="1">
      <alignment horizontal="center"/>
    </xf>
    <xf numFmtId="0" fontId="0" fillId="6" borderId="6" xfId="0" applyFill="1" applyBorder="1"/>
    <xf numFmtId="168" fontId="0" fillId="5" borderId="6" xfId="0" applyNumberFormat="1" applyFill="1" applyBorder="1" applyAlignment="1" applyProtection="1">
      <alignment horizontal="right"/>
      <protection locked="0"/>
    </xf>
    <xf numFmtId="168" fontId="0" fillId="0" borderId="6" xfId="0" applyNumberFormat="1" applyBorder="1" applyAlignment="1">
      <alignment horizontal="center"/>
    </xf>
    <xf numFmtId="0" fontId="0" fillId="0" borderId="7" xfId="0" applyBorder="1"/>
    <xf numFmtId="167" fontId="0" fillId="12" borderId="7" xfId="0" applyNumberFormat="1" applyFill="1" applyBorder="1" applyAlignment="1">
      <alignment horizontal="right"/>
    </xf>
    <xf numFmtId="167" fontId="0" fillId="6" borderId="7" xfId="0" applyNumberFormat="1" applyFill="1" applyBorder="1" applyAlignment="1">
      <alignment horizontal="right"/>
    </xf>
    <xf numFmtId="168" fontId="0" fillId="0" borderId="6" xfId="0" applyNumberFormat="1" applyBorder="1" applyAlignment="1" applyProtection="1">
      <alignment horizontal="right"/>
      <protection locked="0"/>
    </xf>
    <xf numFmtId="167" fontId="0" fillId="0" borderId="6" xfId="0" applyNumberFormat="1" applyBorder="1" applyAlignment="1">
      <alignment horizontal="right"/>
    </xf>
    <xf numFmtId="167" fontId="0" fillId="12" borderId="6" xfId="0" applyNumberFormat="1" applyFill="1" applyBorder="1" applyProtection="1">
      <protection locked="0"/>
    </xf>
    <xf numFmtId="167" fontId="0" fillId="6" borderId="6" xfId="0" applyNumberFormat="1" applyFill="1" applyBorder="1" applyProtection="1">
      <protection locked="0"/>
    </xf>
    <xf numFmtId="168" fontId="0" fillId="12" borderId="6" xfId="0" applyNumberFormat="1" applyFill="1" applyBorder="1" applyProtection="1">
      <protection locked="0"/>
    </xf>
    <xf numFmtId="168" fontId="0" fillId="6" borderId="6" xfId="0" applyNumberFormat="1" applyFill="1" applyBorder="1" applyProtection="1">
      <protection locked="0"/>
    </xf>
    <xf numFmtId="0" fontId="0" fillId="7" borderId="6" xfId="0" applyFill="1" applyBorder="1"/>
    <xf numFmtId="0" fontId="0" fillId="0" borderId="6" xfId="0" applyBorder="1" applyAlignment="1">
      <alignment horizontal="center" vertical="center"/>
    </xf>
    <xf numFmtId="0" fontId="0" fillId="9" borderId="6" xfId="0" applyFill="1" applyBorder="1"/>
    <xf numFmtId="0" fontId="0" fillId="14" borderId="6" xfId="0" applyFill="1" applyBorder="1"/>
    <xf numFmtId="0" fontId="0" fillId="10" borderId="6" xfId="0" applyFill="1" applyBorder="1"/>
    <xf numFmtId="0" fontId="9" fillId="0" borderId="6" xfId="0" applyFont="1" applyBorder="1"/>
    <xf numFmtId="0" fontId="9" fillId="0" borderId="0" xfId="0" applyFont="1"/>
    <xf numFmtId="168" fontId="0" fillId="0" borderId="0" xfId="0" applyNumberFormat="1"/>
    <xf numFmtId="169" fontId="0" fillId="0" borderId="0" xfId="0" applyNumberFormat="1"/>
    <xf numFmtId="169" fontId="0" fillId="0" borderId="6" xfId="0" applyNumberFormat="1" applyBorder="1" applyAlignment="1">
      <alignment horizontal="left"/>
    </xf>
    <xf numFmtId="0" fontId="9" fillId="0" borderId="0" xfId="0" applyFont="1" applyAlignment="1">
      <alignment horizontal="center"/>
    </xf>
    <xf numFmtId="0" fontId="0" fillId="0" borderId="6" xfId="0" applyBorder="1" applyAlignment="1">
      <alignment horizontal="left" vertical="center"/>
    </xf>
    <xf numFmtId="170" fontId="0" fillId="0" borderId="0" xfId="0" applyNumberFormat="1"/>
    <xf numFmtId="168" fontId="5" fillId="0" borderId="6" xfId="0" applyNumberFormat="1" applyFont="1" applyBorder="1" applyAlignment="1">
      <alignment horizontal="center"/>
    </xf>
    <xf numFmtId="168" fontId="9" fillId="13" borderId="6" xfId="0" applyNumberFormat="1" applyFont="1" applyFill="1" applyBorder="1" applyAlignment="1">
      <alignment horizontal="center"/>
    </xf>
    <xf numFmtId="0" fontId="12" fillId="0" borderId="0" xfId="0" applyFont="1"/>
    <xf numFmtId="168" fontId="9" fillId="0" borderId="6" xfId="0" applyNumberFormat="1" applyFont="1" applyBorder="1" applyAlignment="1">
      <alignment horizontal="center" vertical="center"/>
    </xf>
    <xf numFmtId="0" fontId="12" fillId="0" borderId="6" xfId="0" applyFont="1" applyBorder="1" applyAlignment="1">
      <alignment horizontal="center"/>
    </xf>
    <xf numFmtId="168" fontId="26" fillId="0" borderId="6" xfId="0" applyNumberFormat="1" applyFont="1" applyBorder="1" applyAlignment="1">
      <alignment horizontal="center"/>
    </xf>
    <xf numFmtId="171" fontId="12" fillId="0" borderId="6" xfId="0" applyNumberFormat="1" applyFont="1" applyBorder="1" applyAlignment="1">
      <alignment horizontal="center"/>
    </xf>
    <xf numFmtId="0" fontId="27" fillId="0" borderId="6" xfId="0" applyFont="1" applyBorder="1" applyAlignment="1">
      <alignment horizontal="center"/>
    </xf>
    <xf numFmtId="0" fontId="27" fillId="0" borderId="6" xfId="0" applyFont="1" applyBorder="1" applyAlignment="1">
      <alignment horizontal="center" vertical="center"/>
    </xf>
    <xf numFmtId="0" fontId="0" fillId="6" borderId="6" xfId="0" applyFill="1" applyBorder="1" applyAlignment="1">
      <alignment horizontal="center"/>
    </xf>
    <xf numFmtId="0" fontId="0" fillId="15" borderId="6" xfId="0" applyFill="1" applyBorder="1"/>
    <xf numFmtId="0" fontId="0" fillId="5" borderId="6" xfId="0" applyFill="1" applyBorder="1" applyAlignment="1">
      <alignment wrapText="1"/>
    </xf>
    <xf numFmtId="0" fontId="0" fillId="0" borderId="0" xfId="0" applyAlignment="1">
      <alignment horizontal="left" vertical="center"/>
    </xf>
    <xf numFmtId="0" fontId="9" fillId="0" borderId="7" xfId="0" applyFont="1" applyBorder="1"/>
    <xf numFmtId="0" fontId="9" fillId="7" borderId="7" xfId="0" applyFont="1" applyFill="1" applyBorder="1"/>
    <xf numFmtId="0" fontId="0" fillId="0" borderId="7" xfId="0" applyBorder="1" applyAlignment="1">
      <alignment horizontal="center"/>
    </xf>
    <xf numFmtId="0" fontId="0" fillId="0" borderId="7" xfId="0" applyBorder="1" applyAlignment="1">
      <alignment vertical="center" wrapText="1"/>
    </xf>
    <xf numFmtId="167" fontId="0" fillId="0" borderId="7" xfId="0" applyNumberFormat="1" applyBorder="1" applyAlignment="1">
      <alignment horizontal="right"/>
    </xf>
    <xf numFmtId="165" fontId="0" fillId="0" borderId="7" xfId="0" applyNumberFormat="1" applyBorder="1" applyAlignment="1">
      <alignment horizontal="right"/>
    </xf>
    <xf numFmtId="0" fontId="0" fillId="0" borderId="7" xfId="0" applyBorder="1" applyAlignment="1">
      <alignment horizontal="right"/>
    </xf>
    <xf numFmtId="2" fontId="0" fillId="0" borderId="7" xfId="0" applyNumberFormat="1" applyBorder="1" applyAlignment="1">
      <alignment horizontal="right"/>
    </xf>
    <xf numFmtId="167" fontId="0" fillId="0" borderId="7" xfId="0" applyNumberFormat="1" applyBorder="1" applyAlignment="1">
      <alignment horizontal="center"/>
    </xf>
    <xf numFmtId="10" fontId="0" fillId="0" borderId="7" xfId="0" applyNumberFormat="1" applyBorder="1" applyAlignment="1">
      <alignment horizontal="center"/>
    </xf>
    <xf numFmtId="0" fontId="0" fillId="13" borderId="7" xfId="0" applyFill="1" applyBorder="1"/>
    <xf numFmtId="168" fontId="0" fillId="0" borderId="7" xfId="0" applyNumberFormat="1" applyBorder="1" applyAlignment="1">
      <alignment horizontal="right"/>
    </xf>
    <xf numFmtId="165" fontId="0" fillId="0" borderId="7" xfId="0" applyNumberFormat="1" applyBorder="1" applyAlignment="1">
      <alignment horizontal="center"/>
    </xf>
    <xf numFmtId="9" fontId="0" fillId="0" borderId="7" xfId="0" applyNumberFormat="1" applyBorder="1"/>
    <xf numFmtId="0" fontId="0" fillId="9" borderId="7" xfId="0" applyFill="1" applyBorder="1"/>
    <xf numFmtId="0" fontId="0" fillId="6" borderId="7" xfId="0" applyFill="1" applyBorder="1"/>
    <xf numFmtId="168" fontId="0" fillId="0" borderId="7" xfId="0" applyNumberFormat="1" applyBorder="1"/>
    <xf numFmtId="167" fontId="0" fillId="0" borderId="7" xfId="0" applyNumberFormat="1" applyBorder="1"/>
    <xf numFmtId="0" fontId="0" fillId="0" borderId="0" xfId="0" applyAlignment="1">
      <alignment horizontal="center" vertical="center"/>
    </xf>
    <xf numFmtId="0" fontId="0" fillId="8" borderId="7" xfId="0" applyFill="1" applyBorder="1"/>
    <xf numFmtId="0" fontId="0" fillId="10" borderId="7" xfId="0" applyFill="1" applyBorder="1"/>
    <xf numFmtId="172" fontId="0" fillId="0" borderId="7" xfId="0" applyNumberFormat="1" applyBorder="1"/>
    <xf numFmtId="0" fontId="0" fillId="10" borderId="7" xfId="0" applyFill="1" applyBorder="1" applyAlignment="1">
      <alignment wrapText="1"/>
    </xf>
    <xf numFmtId="0" fontId="0" fillId="10" borderId="7" xfId="0" applyFill="1" applyBorder="1" applyAlignment="1">
      <alignment vertical="center"/>
    </xf>
    <xf numFmtId="10" fontId="0" fillId="0" borderId="7" xfId="0" applyNumberFormat="1" applyBorder="1"/>
    <xf numFmtId="0" fontId="0" fillId="3" borderId="0" xfId="0" applyFill="1"/>
    <xf numFmtId="168" fontId="0" fillId="0" borderId="6" xfId="0" applyNumberFormat="1" applyBorder="1"/>
    <xf numFmtId="167" fontId="0" fillId="0" borderId="6" xfId="0" applyNumberFormat="1" applyBorder="1"/>
    <xf numFmtId="0" fontId="0" fillId="16" borderId="0" xfId="0" applyFill="1"/>
    <xf numFmtId="0" fontId="0" fillId="0" borderId="6" xfId="0" applyBorder="1" applyAlignment="1">
      <alignment horizontal="center"/>
    </xf>
    <xf numFmtId="9" fontId="0" fillId="0" borderId="6" xfId="0" applyNumberFormat="1" applyBorder="1"/>
    <xf numFmtId="168" fontId="0" fillId="0" borderId="6" xfId="0" applyNumberFormat="1" applyBorder="1" applyAlignment="1">
      <alignment horizontal="right" vertical="center"/>
    </xf>
    <xf numFmtId="9" fontId="0" fillId="0" borderId="6" xfId="0" applyNumberFormat="1" applyBorder="1" applyAlignment="1">
      <alignment horizontal="right"/>
    </xf>
    <xf numFmtId="167" fontId="0" fillId="17" borderId="6" xfId="0" applyNumberFormat="1" applyFill="1" applyBorder="1" applyAlignment="1">
      <alignment horizontal="center" vertical="center"/>
    </xf>
    <xf numFmtId="168" fontId="0" fillId="17" borderId="6" xfId="0" applyNumberFormat="1" applyFill="1" applyBorder="1" applyAlignment="1">
      <alignment horizontal="center" vertical="center"/>
    </xf>
    <xf numFmtId="167" fontId="0" fillId="17" borderId="6" xfId="0" applyNumberFormat="1" applyFill="1" applyBorder="1" applyAlignment="1">
      <alignment horizontal="center"/>
    </xf>
    <xf numFmtId="168" fontId="0" fillId="17" borderId="6" xfId="0" applyNumberFormat="1" applyFill="1" applyBorder="1" applyAlignment="1">
      <alignment horizontal="center"/>
    </xf>
    <xf numFmtId="167" fontId="0" fillId="0" borderId="0" xfId="0" applyNumberFormat="1"/>
    <xf numFmtId="169" fontId="0" fillId="17" borderId="6" xfId="0" applyNumberFormat="1" applyFill="1" applyBorder="1" applyAlignment="1">
      <alignment horizontal="center"/>
    </xf>
    <xf numFmtId="0" fontId="4" fillId="3" borderId="2" xfId="0" applyFont="1" applyFill="1" applyBorder="1" applyAlignment="1">
      <alignment horizontal="left" vertical="center"/>
    </xf>
    <xf numFmtId="0" fontId="5" fillId="0" borderId="5" xfId="0" applyFont="1" applyBorder="1" applyAlignment="1">
      <alignment horizontal="left" vertical="top" wrapText="1" indent="1"/>
    </xf>
    <xf numFmtId="0" fontId="1" fillId="2" borderId="1" xfId="0" applyFont="1" applyFill="1" applyBorder="1" applyAlignment="1">
      <alignment horizontal="center" vertical="center" wrapText="1"/>
    </xf>
    <xf numFmtId="0" fontId="4" fillId="3" borderId="2" xfId="0" applyFont="1" applyFill="1" applyBorder="1" applyAlignment="1">
      <alignment vertical="center"/>
    </xf>
    <xf numFmtId="0" fontId="5" fillId="0" borderId="4" xfId="0" applyFont="1" applyBorder="1" applyAlignment="1">
      <alignment horizontal="left" vertical="top" wrapText="1" indent="1"/>
    </xf>
    <xf numFmtId="0" fontId="0" fillId="0" borderId="4" xfId="0" applyBorder="1" applyAlignment="1">
      <alignment horizontal="left" vertical="top" wrapText="1" indent="1"/>
    </xf>
    <xf numFmtId="0" fontId="1" fillId="2" borderId="0" xfId="0" applyFont="1" applyFill="1" applyAlignment="1">
      <alignment horizontal="center"/>
    </xf>
    <xf numFmtId="0" fontId="4" fillId="3" borderId="0" xfId="0" applyFont="1" applyFill="1" applyAlignment="1">
      <alignment vertical="center"/>
    </xf>
    <xf numFmtId="0" fontId="12" fillId="4" borderId="0" xfId="0" applyFont="1" applyFill="1" applyAlignment="1">
      <alignment vertical="center"/>
    </xf>
    <xf numFmtId="0" fontId="9" fillId="8" borderId="6" xfId="0" applyFont="1" applyFill="1" applyBorder="1" applyAlignment="1">
      <alignment horizontal="center" vertical="center"/>
    </xf>
    <xf numFmtId="0" fontId="9" fillId="9" borderId="6" xfId="0" applyFont="1" applyFill="1" applyBorder="1" applyAlignment="1">
      <alignment horizontal="center" vertical="center"/>
    </xf>
    <xf numFmtId="0" fontId="0" fillId="0" borderId="6" xfId="0" applyBorder="1"/>
    <xf numFmtId="0" fontId="17" fillId="4" borderId="6" xfId="0" applyFont="1" applyFill="1" applyBorder="1" applyAlignment="1">
      <alignment horizontal="left" vertical="center"/>
    </xf>
    <xf numFmtId="0" fontId="4" fillId="11" borderId="6" xfId="0" applyFont="1" applyFill="1" applyBorder="1" applyAlignment="1">
      <alignment horizontal="left" vertical="center"/>
    </xf>
    <xf numFmtId="0" fontId="9" fillId="10" borderId="6" xfId="0" applyFont="1" applyFill="1" applyBorder="1" applyAlignment="1">
      <alignment horizontal="center" vertical="center"/>
    </xf>
    <xf numFmtId="0" fontId="14" fillId="11" borderId="6" xfId="0" applyFont="1" applyFill="1" applyBorder="1" applyAlignment="1">
      <alignment horizontal="left" vertical="center"/>
    </xf>
    <xf numFmtId="0" fontId="9" fillId="0" borderId="6" xfId="0" applyFont="1" applyBorder="1" applyAlignment="1">
      <alignment horizontal="center" vertical="center"/>
    </xf>
    <xf numFmtId="0" fontId="9" fillId="12" borderId="6" xfId="0" applyFont="1" applyFill="1" applyBorder="1" applyAlignment="1">
      <alignment horizontal="center" vertical="center"/>
    </xf>
    <xf numFmtId="0" fontId="0" fillId="12" borderId="6" xfId="0" applyFill="1" applyBorder="1"/>
    <xf numFmtId="0" fontId="9" fillId="12" borderId="6" xfId="0" applyFont="1" applyFill="1" applyBorder="1" applyAlignment="1">
      <alignment horizontal="left"/>
    </xf>
    <xf numFmtId="0" fontId="16" fillId="0" borderId="6" xfId="0" applyFont="1" applyBorder="1" applyAlignment="1">
      <alignment vertical="top" wrapText="1"/>
    </xf>
    <xf numFmtId="0" fontId="9" fillId="12" borderId="6" xfId="0" applyFont="1" applyFill="1" applyBorder="1" applyAlignment="1">
      <alignment horizontal="left" vertical="center"/>
    </xf>
    <xf numFmtId="0" fontId="16" fillId="0" borderId="6" xfId="0" applyFont="1" applyBorder="1" applyAlignment="1">
      <alignment vertical="center" wrapText="1"/>
    </xf>
    <xf numFmtId="0" fontId="17" fillId="12" borderId="6" xfId="0" applyFont="1" applyFill="1" applyBorder="1" applyAlignment="1">
      <alignment horizontal="left" vertical="center"/>
    </xf>
    <xf numFmtId="0" fontId="16" fillId="0" borderId="6" xfId="0" applyFont="1" applyBorder="1" applyAlignment="1">
      <alignment wrapText="1"/>
    </xf>
    <xf numFmtId="0" fontId="9" fillId="13" borderId="6" xfId="0" applyFont="1" applyFill="1" applyBorder="1" applyAlignment="1">
      <alignment horizontal="center"/>
    </xf>
    <xf numFmtId="0" fontId="0" fillId="0" borderId="6" xfId="0" applyBorder="1" applyAlignment="1">
      <alignment wrapText="1"/>
    </xf>
    <xf numFmtId="0" fontId="9" fillId="7" borderId="7" xfId="0" applyFont="1" applyFill="1" applyBorder="1" applyAlignment="1">
      <alignment horizontal="center"/>
    </xf>
    <xf numFmtId="0" fontId="9" fillId="9" borderId="7" xfId="0" applyFont="1" applyFill="1" applyBorder="1" applyAlignment="1">
      <alignment horizontal="center"/>
    </xf>
    <xf numFmtId="0" fontId="9" fillId="14" borderId="7" xfId="0" applyFont="1" applyFill="1" applyBorder="1" applyAlignment="1">
      <alignment horizontal="center"/>
    </xf>
    <xf numFmtId="0" fontId="9" fillId="10" borderId="7" xfId="0" applyFont="1" applyFill="1" applyBorder="1" applyAlignment="1">
      <alignment horizontal="center"/>
    </xf>
    <xf numFmtId="0" fontId="9" fillId="13" borderId="6" xfId="0" applyFont="1" applyFill="1" applyBorder="1" applyAlignment="1">
      <alignment horizontal="center" vertical="center"/>
    </xf>
    <xf numFmtId="0" fontId="0" fillId="0" borderId="7" xfId="0" applyBorder="1" applyAlignment="1">
      <alignment vertical="center"/>
    </xf>
    <xf numFmtId="0" fontId="9" fillId="0" borderId="7" xfId="0" applyFont="1" applyBorder="1" applyAlignment="1">
      <alignment vertical="top" wrapText="1"/>
    </xf>
    <xf numFmtId="0" fontId="0" fillId="7" borderId="7" xfId="0" applyFill="1" applyBorder="1" applyAlignment="1">
      <alignment horizontal="center" vertical="center"/>
    </xf>
    <xf numFmtId="0" fontId="9" fillId="0" borderId="7" xfId="0" applyFont="1" applyBorder="1" applyAlignment="1">
      <alignment wrapText="1"/>
    </xf>
    <xf numFmtId="0" fontId="0" fillId="0" borderId="7" xfId="0" applyBorder="1" applyAlignment="1">
      <alignment vertical="center" wrapText="1"/>
    </xf>
    <xf numFmtId="167" fontId="9" fillId="13" borderId="7" xfId="0" applyNumberFormat="1" applyFont="1" applyFill="1" applyBorder="1" applyAlignment="1">
      <alignment horizontal="center"/>
    </xf>
    <xf numFmtId="0" fontId="0" fillId="0" borderId="7" xfId="0" applyBorder="1" applyAlignment="1">
      <alignment horizontal="left" vertical="center"/>
    </xf>
    <xf numFmtId="168" fontId="9" fillId="13" borderId="7" xfId="0" applyNumberFormat="1" applyFont="1" applyFill="1" applyBorder="1" applyAlignment="1">
      <alignment horizontal="center"/>
    </xf>
    <xf numFmtId="0" fontId="0" fillId="9" borderId="7" xfId="0" applyFill="1" applyBorder="1" applyAlignment="1">
      <alignment horizontal="center" vertical="center"/>
    </xf>
    <xf numFmtId="167" fontId="9" fillId="13" borderId="7" xfId="0" applyNumberFormat="1" applyFont="1" applyFill="1" applyBorder="1" applyAlignment="1">
      <alignment horizontal="center" vertical="center"/>
    </xf>
    <xf numFmtId="0" fontId="0" fillId="8" borderId="7" xfId="0" applyFill="1" applyBorder="1" applyAlignment="1">
      <alignment horizontal="center" vertical="center"/>
    </xf>
    <xf numFmtId="0" fontId="9" fillId="0" borderId="7" xfId="0" applyFont="1" applyBorder="1" applyAlignment="1">
      <alignment horizontal="left" vertical="center" wrapText="1"/>
    </xf>
    <xf numFmtId="0" fontId="0" fillId="10" borderId="7" xfId="0" applyFill="1" applyBorder="1" applyAlignment="1">
      <alignment horizontal="center" vertical="center"/>
    </xf>
    <xf numFmtId="0" fontId="0" fillId="0" borderId="7" xfId="0" applyBorder="1"/>
    <xf numFmtId="0" fontId="0" fillId="0" borderId="6" xfId="0" applyBorder="1" applyAlignment="1">
      <alignment horizontal="left" vertical="center"/>
    </xf>
    <xf numFmtId="0" fontId="0" fillId="13" borderId="6" xfId="0" applyFill="1" applyBorder="1"/>
    <xf numFmtId="0" fontId="16" fillId="0" borderId="0" xfId="0" applyFont="1" applyAlignment="1">
      <alignment vertical="top" wrapText="1"/>
    </xf>
    <xf numFmtId="0" fontId="0" fillId="0" borderId="6" xfId="0" applyBorder="1" applyAlignment="1">
      <alignment horizontal="left" vertical="center" wrapText="1"/>
    </xf>
    <xf numFmtId="0" fontId="26" fillId="0" borderId="6" xfId="0" applyFont="1" applyBorder="1" applyAlignment="1">
      <alignment wrapText="1"/>
    </xf>
    <xf numFmtId="0" fontId="1" fillId="2" borderId="1" xfId="0" applyFont="1" applyFill="1" applyBorder="1" applyAlignment="1">
      <alignment horizontal="center" wrapText="1"/>
    </xf>
    <xf numFmtId="0" fontId="4" fillId="3" borderId="0" xfId="0" applyFont="1" applyFill="1" applyAlignment="1">
      <alignment horizontal="center" vertical="center"/>
    </xf>
    <xf numFmtId="0" fontId="26" fillId="0" borderId="6" xfId="0" applyFont="1" applyBorder="1"/>
    <xf numFmtId="0" fontId="17" fillId="4" borderId="0" xfId="0" applyFont="1" applyFill="1" applyAlignment="1">
      <alignment vertical="center"/>
    </xf>
    <xf numFmtId="0" fontId="23" fillId="0" borderId="6" xfId="0" applyFont="1" applyBorder="1" applyProtection="1">
      <protection locked="0"/>
    </xf>
    <xf numFmtId="0" fontId="23" fillId="0" borderId="6" xfId="0" applyFont="1" applyBorder="1" applyAlignment="1" applyProtection="1">
      <alignment wrapText="1"/>
      <protection locked="0"/>
    </xf>
    <xf numFmtId="168" fontId="0" fillId="15" borderId="6" xfId="0" applyNumberFormat="1" applyFill="1" applyBorder="1" applyAlignment="1">
      <alignment horizontal="center"/>
    </xf>
    <xf numFmtId="168" fontId="0" fillId="5" borderId="6" xfId="0" applyNumberFormat="1" applyFill="1" applyBorder="1" applyAlignment="1">
      <alignment horizontal="center" vertical="center"/>
    </xf>
    <xf numFmtId="9" fontId="0" fillId="0" borderId="0" xfId="1" applyFont="1"/>
    <xf numFmtId="173" fontId="0" fillId="0" borderId="0" xfId="0" applyNumberFormat="1"/>
    <xf numFmtId="168" fontId="0" fillId="0" borderId="7" xfId="0" applyNumberFormat="1" applyFill="1" applyBorder="1" applyAlignment="1">
      <alignment horizontal="right"/>
    </xf>
    <xf numFmtId="167" fontId="0" fillId="0" borderId="7" xfId="0" applyNumberFormat="1" applyFill="1" applyBorder="1" applyAlignment="1">
      <alignment horizontal="right"/>
    </xf>
    <xf numFmtId="167" fontId="0" fillId="0" borderId="7" xfId="0" applyNumberFormat="1" applyFill="1" applyBorder="1"/>
    <xf numFmtId="168" fontId="0" fillId="0" borderId="7" xfId="0" applyNumberFormat="1" applyFill="1" applyBorder="1"/>
    <xf numFmtId="2" fontId="0" fillId="0" borderId="7" xfId="0" applyNumberFormat="1" applyFill="1" applyBorder="1" applyAlignment="1">
      <alignment horizontal="right"/>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sz="1300" b="0" strike="noStrike" spc="-1">
                <a:latin typeface="Arial"/>
              </a:rPr>
              <a:t>Répartition du food cost selon les composants du plat principal de l'offre actuelle</a:t>
            </a:r>
          </a:p>
        </c:rich>
      </c:tx>
      <c:overlay val="0"/>
      <c:spPr>
        <a:noFill/>
        <a:ln w="0">
          <a:noFill/>
        </a:ln>
      </c:spPr>
    </c:title>
    <c:autoTitleDeleted val="0"/>
    <c:plotArea>
      <c:layout>
        <c:manualLayout>
          <c:layoutTarget val="inner"/>
          <c:xMode val="edge"/>
          <c:yMode val="edge"/>
          <c:x val="0.221504721291502"/>
          <c:y val="0.16687268232385699"/>
          <c:w val="0.42948522692659202"/>
          <c:h val="0.81087762669962904"/>
        </c:manualLayout>
      </c:layout>
      <c:pieChart>
        <c:varyColors val="1"/>
        <c:ser>
          <c:idx val="0"/>
          <c:order val="0"/>
          <c:spPr>
            <a:solidFill>
              <a:srgbClr val="FFFF00"/>
            </a:solidFill>
            <a:ln w="0">
              <a:noFill/>
            </a:ln>
          </c:spPr>
          <c:dPt>
            <c:idx val="0"/>
            <c:bubble3D val="0"/>
            <c:spPr>
              <a:solidFill>
                <a:srgbClr val="BF819E"/>
              </a:solidFill>
              <a:ln w="0">
                <a:noFill/>
              </a:ln>
            </c:spPr>
            <c:extLst>
              <c:ext xmlns:c16="http://schemas.microsoft.com/office/drawing/2014/chart" uri="{C3380CC4-5D6E-409C-BE32-E72D297353CC}">
                <c16:uniqueId val="{00000001-D971-0F4D-B121-AC1F9F258B3D}"/>
              </c:ext>
            </c:extLst>
          </c:dPt>
          <c:dPt>
            <c:idx val="1"/>
            <c:bubble3D val="0"/>
            <c:spPr>
              <a:solidFill>
                <a:srgbClr val="FF972F"/>
              </a:solidFill>
              <a:ln w="0">
                <a:noFill/>
              </a:ln>
            </c:spPr>
            <c:extLst>
              <c:ext xmlns:c16="http://schemas.microsoft.com/office/drawing/2014/chart" uri="{C3380CC4-5D6E-409C-BE32-E72D297353CC}">
                <c16:uniqueId val="{00000003-D971-0F4D-B121-AC1F9F258B3D}"/>
              </c:ext>
            </c:extLst>
          </c:dPt>
          <c:dPt>
            <c:idx val="2"/>
            <c:bubble3D val="0"/>
            <c:spPr>
              <a:solidFill>
                <a:srgbClr val="81D41A"/>
              </a:solidFill>
              <a:ln w="0">
                <a:noFill/>
              </a:ln>
            </c:spPr>
            <c:extLst>
              <c:ext xmlns:c16="http://schemas.microsoft.com/office/drawing/2014/chart" uri="{C3380CC4-5D6E-409C-BE32-E72D297353CC}">
                <c16:uniqueId val="{00000005-D971-0F4D-B121-AC1F9F258B3D}"/>
              </c:ext>
            </c:extLst>
          </c:dPt>
          <c:dPt>
            <c:idx val="3"/>
            <c:bubble3D val="0"/>
            <c:extLst>
              <c:ext xmlns:c16="http://schemas.microsoft.com/office/drawing/2014/chart" uri="{C3380CC4-5D6E-409C-BE32-E72D297353CC}">
                <c16:uniqueId val="{00000006-D971-0F4D-B121-AC1F9F258B3D}"/>
              </c:ext>
            </c:extLst>
          </c:dPt>
          <c:dLbls>
            <c:dLbl>
              <c:idx val="0"/>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D971-0F4D-B121-AC1F9F258B3D}"/>
                </c:ext>
              </c:extLst>
            </c:dLbl>
            <c:dLbl>
              <c:idx val="1"/>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D971-0F4D-B121-AC1F9F258B3D}"/>
                </c:ext>
              </c:extLst>
            </c:dLbl>
            <c:dLbl>
              <c:idx val="2"/>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D971-0F4D-B121-AC1F9F258B3D}"/>
                </c:ext>
              </c:extLst>
            </c:dLbl>
            <c:dLbl>
              <c:idx val="3"/>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6-D971-0F4D-B121-AC1F9F258B3D}"/>
                </c:ext>
              </c:extLst>
            </c:dLbl>
            <c:numFmt formatCode="0%" sourceLinked="0"/>
            <c:spPr>
              <a:noFill/>
              <a:ln>
                <a:noFill/>
              </a:ln>
              <a:effectLst/>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val>
            <c:numRef>
              <c:f>0</c:f>
              <c:numCache>
                <c:formatCode>General</c:formatCode>
                <c:ptCount val="4"/>
                <c:pt idx="0">
                  <c:v>0.36897075256373202</c:v>
                </c:pt>
                <c:pt idx="1">
                  <c:v>0.23844415512737799</c:v>
                </c:pt>
                <c:pt idx="2">
                  <c:v>0.21914139979269101</c:v>
                </c:pt>
                <c:pt idx="3">
                  <c:v>0.17344369251619801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Column C</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4"/>
                      <c:pt idx="0">
                        <c:v>VVPOAV</c:v>
                      </c:pt>
                      <c:pt idx="1">
                        <c:v>Féculents</c:v>
                      </c:pt>
                      <c:pt idx="2">
                        <c:v>Légumes</c:v>
                      </c:pt>
                      <c:pt idx="3">
                        <c:v>Overheid</c:v>
                      </c:pt>
                    </c:strCache>
                  </c:strRef>
                </c15:cat>
              </c15:filteredCategoryTitle>
            </c:ext>
            <c:ext xmlns:c16="http://schemas.microsoft.com/office/drawing/2014/chart" uri="{C3380CC4-5D6E-409C-BE32-E72D297353CC}">
              <c16:uniqueId val="{00000007-D971-0F4D-B121-AC1F9F258B3D}"/>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a:defRPr sz="1000" b="0" strike="noStrike" spc="-1">
              <a:latin typeface="Arial"/>
            </a:defRPr>
          </a:pPr>
          <a:endParaRPr lang="en-BE"/>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soupe/plat/dessert de l'offre actuelle</a:t>
            </a:r>
          </a:p>
        </c:rich>
      </c:tx>
      <c:overlay val="0"/>
      <c:spPr>
        <a:noFill/>
        <a:ln w="0">
          <a:noFill/>
        </a:ln>
      </c:spPr>
    </c:title>
    <c:autoTitleDeleted val="0"/>
    <c:plotArea>
      <c:layout>
        <c:manualLayout>
          <c:layoutTarget val="inner"/>
          <c:xMode val="edge"/>
          <c:yMode val="edge"/>
          <c:x val="0.14645505239291601"/>
          <c:y val="0.16713404374649499"/>
          <c:w val="0.42435198235186"/>
          <c:h val="0.77577117218171598"/>
        </c:manualLayout>
      </c:layout>
      <c:pieChart>
        <c:varyColors val="1"/>
        <c:ser>
          <c:idx val="0"/>
          <c:order val="0"/>
          <c:spPr>
            <a:solidFill>
              <a:srgbClr val="004586"/>
            </a:solidFill>
            <a:ln w="0">
              <a:noFill/>
            </a:ln>
          </c:spPr>
          <c:dPt>
            <c:idx val="0"/>
            <c:bubble3D val="0"/>
            <c:spPr>
              <a:solidFill>
                <a:srgbClr val="158466"/>
              </a:solidFill>
              <a:ln w="0">
                <a:noFill/>
              </a:ln>
            </c:spPr>
            <c:extLst>
              <c:ext xmlns:c16="http://schemas.microsoft.com/office/drawing/2014/chart" uri="{C3380CC4-5D6E-409C-BE32-E72D297353CC}">
                <c16:uniqueId val="{00000001-162E-734A-982D-AE4E67D95267}"/>
              </c:ext>
            </c:extLst>
          </c:dPt>
          <c:dPt>
            <c:idx val="1"/>
            <c:bubble3D val="0"/>
            <c:spPr>
              <a:solidFill>
                <a:srgbClr val="FF420E"/>
              </a:solidFill>
              <a:ln w="0">
                <a:noFill/>
              </a:ln>
            </c:spPr>
            <c:extLst>
              <c:ext xmlns:c16="http://schemas.microsoft.com/office/drawing/2014/chart" uri="{C3380CC4-5D6E-409C-BE32-E72D297353CC}">
                <c16:uniqueId val="{00000003-162E-734A-982D-AE4E67D95267}"/>
              </c:ext>
            </c:extLst>
          </c:dPt>
          <c:dPt>
            <c:idx val="2"/>
            <c:bubble3D val="0"/>
            <c:spPr>
              <a:solidFill>
                <a:srgbClr val="729FCF"/>
              </a:solidFill>
              <a:ln w="0">
                <a:noFill/>
              </a:ln>
            </c:spPr>
            <c:extLst>
              <c:ext xmlns:c16="http://schemas.microsoft.com/office/drawing/2014/chart" uri="{C3380CC4-5D6E-409C-BE32-E72D297353CC}">
                <c16:uniqueId val="{00000005-162E-734A-982D-AE4E67D95267}"/>
              </c:ext>
            </c:extLst>
          </c:dPt>
          <c:dLbls>
            <c:dLbl>
              <c:idx val="0"/>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162E-734A-982D-AE4E67D95267}"/>
                </c:ext>
              </c:extLst>
            </c:dLbl>
            <c:dLbl>
              <c:idx val="1"/>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162E-734A-982D-AE4E67D95267}"/>
                </c:ext>
              </c:extLst>
            </c:dLbl>
            <c:dLbl>
              <c:idx val="2"/>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162E-734A-982D-AE4E67D95267}"/>
                </c:ext>
              </c:extLst>
            </c:dLbl>
            <c:spPr>
              <a:noFill/>
              <a:ln>
                <a:noFill/>
              </a:ln>
              <a:effectLst/>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strRef>
              <c:f>[1]Graphes!$A$26:$A$28</c:f>
              <c:strCache>
                <c:ptCount val="3"/>
                <c:pt idx="0">
                  <c:v>Soupe</c:v>
                </c:pt>
                <c:pt idx="1">
                  <c:v>Plat principal avec overhead</c:v>
                </c:pt>
                <c:pt idx="2">
                  <c:v>Dessert</c:v>
                </c:pt>
              </c:strCache>
            </c:strRef>
          </c:cat>
          <c:val>
            <c:numRef>
              <c:f>[1]Graphes!$C$26:$C$28</c:f>
              <c:numCache>
                <c:formatCode>General</c:formatCode>
                <c:ptCount val="3"/>
                <c:pt idx="0">
                  <c:v>9.2798097704812399E-2</c:v>
                </c:pt>
                <c:pt idx="1">
                  <c:v>0.78691991430859998</c:v>
                </c:pt>
                <c:pt idx="2">
                  <c:v>0.120281987986588</c:v>
                </c:pt>
              </c:numCache>
            </c:numRef>
          </c:val>
          <c:extLst>
            <c:ext xmlns:c16="http://schemas.microsoft.com/office/drawing/2014/chart" uri="{C3380CC4-5D6E-409C-BE32-E72D297353CC}">
              <c16:uniqueId val="{00000006-162E-734A-982D-AE4E67D95267}"/>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a:defRPr sz="1000" b="0" strike="noStrike" spc="-1">
              <a:latin typeface="Arial"/>
            </a:defRPr>
          </a:pPr>
          <a:endParaRPr lang="en-BE"/>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lang="en-GB" sz="1300" b="0" strike="noStrike" spc="-1">
                <a:latin typeface="Arial"/>
              </a:rPr>
              <a:t>Répartition  du food cost selon soupe/plat pincipal/dessert de l'offre souhaitée</a:t>
            </a:r>
          </a:p>
        </c:rich>
      </c:tx>
      <c:overlay val="0"/>
      <c:spPr>
        <a:noFill/>
        <a:ln w="0">
          <a:noFill/>
        </a:ln>
      </c:spPr>
    </c:title>
    <c:autoTitleDeleted val="0"/>
    <c:plotArea>
      <c:layout>
        <c:manualLayout>
          <c:layoutTarget val="inner"/>
          <c:xMode val="edge"/>
          <c:yMode val="edge"/>
          <c:x val="0.14951317125619701"/>
          <c:y val="0.153897774298177"/>
          <c:w val="0.41885192043486102"/>
          <c:h val="0.78167990157700495"/>
        </c:manualLayout>
      </c:layout>
      <c:pieChart>
        <c:varyColors val="1"/>
        <c:ser>
          <c:idx val="0"/>
          <c:order val="0"/>
          <c:spPr>
            <a:solidFill>
              <a:srgbClr val="004586"/>
            </a:solidFill>
            <a:ln w="0">
              <a:noFill/>
            </a:ln>
          </c:spPr>
          <c:dPt>
            <c:idx val="0"/>
            <c:bubble3D val="0"/>
            <c:spPr>
              <a:solidFill>
                <a:srgbClr val="158466"/>
              </a:solidFill>
              <a:ln w="0">
                <a:noFill/>
              </a:ln>
            </c:spPr>
            <c:extLst>
              <c:ext xmlns:c16="http://schemas.microsoft.com/office/drawing/2014/chart" uri="{C3380CC4-5D6E-409C-BE32-E72D297353CC}">
                <c16:uniqueId val="{00000001-3616-DC4F-89A1-290C444CEBEE}"/>
              </c:ext>
            </c:extLst>
          </c:dPt>
          <c:dPt>
            <c:idx val="1"/>
            <c:bubble3D val="0"/>
            <c:spPr>
              <a:solidFill>
                <a:srgbClr val="FF420E"/>
              </a:solidFill>
              <a:ln w="0">
                <a:noFill/>
              </a:ln>
            </c:spPr>
            <c:extLst>
              <c:ext xmlns:c16="http://schemas.microsoft.com/office/drawing/2014/chart" uri="{C3380CC4-5D6E-409C-BE32-E72D297353CC}">
                <c16:uniqueId val="{00000003-3616-DC4F-89A1-290C444CEBEE}"/>
              </c:ext>
            </c:extLst>
          </c:dPt>
          <c:dPt>
            <c:idx val="2"/>
            <c:bubble3D val="0"/>
            <c:spPr>
              <a:solidFill>
                <a:srgbClr val="729FCF"/>
              </a:solidFill>
              <a:ln w="0">
                <a:noFill/>
              </a:ln>
            </c:spPr>
            <c:extLst>
              <c:ext xmlns:c16="http://schemas.microsoft.com/office/drawing/2014/chart" uri="{C3380CC4-5D6E-409C-BE32-E72D297353CC}">
                <c16:uniqueId val="{00000005-3616-DC4F-89A1-290C444CEBEE}"/>
              </c:ext>
            </c:extLst>
          </c:dPt>
          <c:dLbls>
            <c:dLbl>
              <c:idx val="0"/>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3616-DC4F-89A1-290C444CEBEE}"/>
                </c:ext>
              </c:extLst>
            </c:dLbl>
            <c:dLbl>
              <c:idx val="1"/>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3616-DC4F-89A1-290C444CEBEE}"/>
                </c:ext>
              </c:extLst>
            </c:dLbl>
            <c:dLbl>
              <c:idx val="2"/>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3616-DC4F-89A1-290C444CEBEE}"/>
                </c:ext>
              </c:extLst>
            </c:dLbl>
            <c:spPr>
              <a:noFill/>
              <a:ln>
                <a:noFill/>
              </a:ln>
              <a:effectLst/>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strRef>
              <c:f>[1]Graphes!$J$26:$J$28</c:f>
              <c:strCache>
                <c:ptCount val="3"/>
                <c:pt idx="0">
                  <c:v>Soupe</c:v>
                </c:pt>
                <c:pt idx="1">
                  <c:v>Plat principal avec overhead</c:v>
                </c:pt>
                <c:pt idx="2">
                  <c:v>Dessert</c:v>
                </c:pt>
              </c:strCache>
            </c:strRef>
          </c:cat>
          <c:val>
            <c:numRef>
              <c:f>[1]Graphes!$L$26:$L$28</c:f>
              <c:numCache>
                <c:formatCode>General</c:formatCode>
                <c:ptCount val="3"/>
                <c:pt idx="0">
                  <c:v>9.2798097704812399E-2</c:v>
                </c:pt>
                <c:pt idx="1">
                  <c:v>0.78691991430859998</c:v>
                </c:pt>
                <c:pt idx="2">
                  <c:v>0.120281987986588</c:v>
                </c:pt>
              </c:numCache>
            </c:numRef>
          </c:val>
          <c:extLst>
            <c:ext xmlns:c16="http://schemas.microsoft.com/office/drawing/2014/chart" uri="{C3380CC4-5D6E-409C-BE32-E72D297353CC}">
              <c16:uniqueId val="{00000006-3616-DC4F-89A1-290C444CEBEE}"/>
            </c:ext>
          </c:extLst>
        </c:ser>
        <c:dLbls>
          <c:showLegendKey val="0"/>
          <c:showVal val="0"/>
          <c:showCatName val="0"/>
          <c:showSerName val="0"/>
          <c:showPercent val="0"/>
          <c:showBubbleSize val="0"/>
          <c:showLeaderLines val="0"/>
        </c:dLbls>
        <c:firstSliceAng val="0"/>
      </c:pieChart>
      <c:spPr>
        <a:noFill/>
        <a:ln w="0">
          <a:noFill/>
        </a:ln>
      </c:spPr>
    </c:plotArea>
    <c:legend>
      <c:legendPos val="r"/>
      <c:layout>
        <c:manualLayout>
          <c:xMode val="edge"/>
          <c:yMode val="edge"/>
          <c:x val="0.66210972479255004"/>
          <c:y val="0.33281197631549497"/>
          <c:w val="0.31791044776119398"/>
          <c:h val="0.33318435754189901"/>
        </c:manualLayout>
      </c:layout>
      <c:overlay val="0"/>
      <c:spPr>
        <a:noFill/>
        <a:ln w="0">
          <a:noFill/>
        </a:ln>
      </c:spPr>
      <c:txPr>
        <a:bodyPr/>
        <a:lstStyle/>
        <a:p>
          <a:pPr>
            <a:defRPr sz="1000" b="0" strike="noStrike" spc="-1">
              <a:latin typeface="Arial"/>
            </a:defRPr>
          </a:pPr>
          <a:endParaRPr lang="en-BE"/>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strike="noStrike" spc="-1">
                <a:latin typeface="Arial"/>
              </a:defRPr>
            </a:pPr>
            <a:r>
              <a:rPr sz="1300" b="0" strike="noStrike" spc="-1">
                <a:latin typeface="Arial"/>
              </a:rPr>
              <a:t>Répartition du food cost selon les composants du plat principal de l'offre souhaitée</a:t>
            </a:r>
          </a:p>
        </c:rich>
      </c:tx>
      <c:overlay val="0"/>
      <c:spPr>
        <a:noFill/>
        <a:ln w="0">
          <a:noFill/>
        </a:ln>
      </c:spPr>
    </c:title>
    <c:autoTitleDeleted val="0"/>
    <c:plotArea>
      <c:layout>
        <c:manualLayout>
          <c:layoutTarget val="inner"/>
          <c:xMode val="edge"/>
          <c:yMode val="edge"/>
          <c:x val="0.13451761818500599"/>
          <c:y val="0.130094986172899"/>
          <c:w val="0.401390755565944"/>
          <c:h val="0.82193098473007098"/>
        </c:manualLayout>
      </c:layout>
      <c:pieChart>
        <c:varyColors val="1"/>
        <c:ser>
          <c:idx val="0"/>
          <c:order val="0"/>
          <c:spPr>
            <a:solidFill>
              <a:srgbClr val="004586"/>
            </a:solidFill>
            <a:ln w="0">
              <a:noFill/>
            </a:ln>
          </c:spPr>
          <c:dPt>
            <c:idx val="0"/>
            <c:bubble3D val="0"/>
            <c:spPr>
              <a:solidFill>
                <a:srgbClr val="BF819E"/>
              </a:solidFill>
              <a:ln w="0">
                <a:noFill/>
              </a:ln>
            </c:spPr>
            <c:extLst>
              <c:ext xmlns:c16="http://schemas.microsoft.com/office/drawing/2014/chart" uri="{C3380CC4-5D6E-409C-BE32-E72D297353CC}">
                <c16:uniqueId val="{00000001-08E9-AD49-BE33-A5D078C21D85}"/>
              </c:ext>
            </c:extLst>
          </c:dPt>
          <c:dPt>
            <c:idx val="1"/>
            <c:bubble3D val="0"/>
            <c:spPr>
              <a:solidFill>
                <a:srgbClr val="FF860D"/>
              </a:solidFill>
              <a:ln w="0">
                <a:noFill/>
              </a:ln>
            </c:spPr>
            <c:extLst>
              <c:ext xmlns:c16="http://schemas.microsoft.com/office/drawing/2014/chart" uri="{C3380CC4-5D6E-409C-BE32-E72D297353CC}">
                <c16:uniqueId val="{00000003-08E9-AD49-BE33-A5D078C21D85}"/>
              </c:ext>
            </c:extLst>
          </c:dPt>
          <c:dPt>
            <c:idx val="2"/>
            <c:bubble3D val="0"/>
            <c:spPr>
              <a:solidFill>
                <a:srgbClr val="81D41A"/>
              </a:solidFill>
              <a:ln w="0">
                <a:noFill/>
              </a:ln>
            </c:spPr>
            <c:extLst>
              <c:ext xmlns:c16="http://schemas.microsoft.com/office/drawing/2014/chart" uri="{C3380CC4-5D6E-409C-BE32-E72D297353CC}">
                <c16:uniqueId val="{00000005-08E9-AD49-BE33-A5D078C21D85}"/>
              </c:ext>
            </c:extLst>
          </c:dPt>
          <c:dPt>
            <c:idx val="3"/>
            <c:bubble3D val="0"/>
            <c:spPr>
              <a:solidFill>
                <a:srgbClr val="FFFF00"/>
              </a:solidFill>
              <a:ln w="0">
                <a:noFill/>
              </a:ln>
            </c:spPr>
            <c:extLst>
              <c:ext xmlns:c16="http://schemas.microsoft.com/office/drawing/2014/chart" uri="{C3380CC4-5D6E-409C-BE32-E72D297353CC}">
                <c16:uniqueId val="{00000007-08E9-AD49-BE33-A5D078C21D85}"/>
              </c:ext>
            </c:extLst>
          </c:dPt>
          <c:dLbls>
            <c:dLbl>
              <c:idx val="0"/>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1-08E9-AD49-BE33-A5D078C21D85}"/>
                </c:ext>
              </c:extLst>
            </c:dLbl>
            <c:dLbl>
              <c:idx val="1"/>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3-08E9-AD49-BE33-A5D078C21D85}"/>
                </c:ext>
              </c:extLst>
            </c:dLbl>
            <c:dLbl>
              <c:idx val="2"/>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5-08E9-AD49-BE33-A5D078C21D85}"/>
                </c:ext>
              </c:extLst>
            </c:dLbl>
            <c:dLbl>
              <c:idx val="3"/>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extLst>
                <c:ext xmlns:c15="http://schemas.microsoft.com/office/drawing/2012/chart" uri="{CE6537A1-D6FC-4f65-9D91-7224C49458BB}"/>
                <c:ext xmlns:c16="http://schemas.microsoft.com/office/drawing/2014/chart" uri="{C3380CC4-5D6E-409C-BE32-E72D297353CC}">
                  <c16:uniqueId val="{00000007-08E9-AD49-BE33-A5D078C21D85}"/>
                </c:ext>
              </c:extLst>
            </c:dLbl>
            <c:spPr>
              <a:noFill/>
              <a:ln>
                <a:noFill/>
              </a:ln>
              <a:effectLst/>
            </c:spPr>
            <c:txPr>
              <a:bodyPr wrap="square"/>
              <a:lstStyle/>
              <a:p>
                <a:pPr>
                  <a:defRPr sz="1000" b="0" strike="noStrike" spc="-1">
                    <a:latin typeface="Arial"/>
                  </a:defRPr>
                </a:pPr>
                <a:endParaRPr lang="en-BE"/>
              </a:p>
            </c:txPr>
            <c:dLblPos val="bestFit"/>
            <c:showLegendKey val="0"/>
            <c:showVal val="0"/>
            <c:showCatName val="0"/>
            <c:showSerName val="0"/>
            <c:showPercent val="1"/>
            <c:showBubbleSize val="1"/>
            <c:separator> </c:separator>
            <c:showLeaderLines val="0"/>
            <c:extLst>
              <c:ext xmlns:c15="http://schemas.microsoft.com/office/drawing/2012/chart" uri="{CE6537A1-D6FC-4f65-9D91-7224C49458BB}"/>
            </c:extLst>
          </c:dLbls>
          <c:cat>
            <c:strRef>
              <c:f>[1]Graphes!$J$34:$J$37</c:f>
              <c:strCache>
                <c:ptCount val="4"/>
                <c:pt idx="0">
                  <c:v>VVPOAV</c:v>
                </c:pt>
                <c:pt idx="1">
                  <c:v>Féculents</c:v>
                </c:pt>
                <c:pt idx="2">
                  <c:v>Légumes</c:v>
                </c:pt>
                <c:pt idx="3">
                  <c:v>Overheid</c:v>
                </c:pt>
              </c:strCache>
            </c:strRef>
          </c:cat>
          <c:val>
            <c:numRef>
              <c:f>[1]Graphes!$L$34:$L$37</c:f>
              <c:numCache>
                <c:formatCode>General</c:formatCode>
                <c:ptCount val="4"/>
                <c:pt idx="0">
                  <c:v>0.40207112806855899</c:v>
                </c:pt>
                <c:pt idx="1">
                  <c:v>0.22204080646509899</c:v>
                </c:pt>
                <c:pt idx="2">
                  <c:v>0.204065950427119</c:v>
                </c:pt>
                <c:pt idx="3">
                  <c:v>0.17182211503922201</c:v>
                </c:pt>
              </c:numCache>
            </c:numRef>
          </c:val>
          <c:extLst>
            <c:ext xmlns:c16="http://schemas.microsoft.com/office/drawing/2014/chart" uri="{C3380CC4-5D6E-409C-BE32-E72D297353CC}">
              <c16:uniqueId val="{00000008-08E9-AD49-BE33-A5D078C21D85}"/>
            </c:ext>
          </c:extLst>
        </c:ser>
        <c:dLbls>
          <c:showLegendKey val="0"/>
          <c:showVal val="0"/>
          <c:showCatName val="0"/>
          <c:showSerName val="0"/>
          <c:showPercent val="0"/>
          <c:showBubbleSize val="0"/>
          <c:showLeaderLines val="0"/>
        </c:dLbls>
        <c:firstSliceAng val="0"/>
      </c:pieChart>
      <c:spPr>
        <a:noFill/>
        <a:ln w="0">
          <a:noFill/>
        </a:ln>
      </c:spPr>
    </c:plotArea>
    <c:legend>
      <c:legendPos val="r"/>
      <c:overlay val="0"/>
      <c:spPr>
        <a:noFill/>
        <a:ln w="0">
          <a:noFill/>
        </a:ln>
      </c:spPr>
      <c:txPr>
        <a:bodyPr/>
        <a:lstStyle/>
        <a:p>
          <a:pPr>
            <a:defRPr sz="1000" b="0" strike="noStrike" spc="-1">
              <a:latin typeface="Arial"/>
            </a:defRPr>
          </a:pPr>
          <a:endParaRPr lang="en-BE"/>
        </a:p>
      </c:txPr>
    </c:legend>
    <c:plotVisOnly val="1"/>
    <c:dispBlanksAs val="zero"/>
    <c:showDLblsOverMax val="1"/>
  </c:chart>
  <c:spPr>
    <a:solidFill>
      <a:srgbClr val="FFFFFF"/>
    </a:solidFill>
    <a:ln w="936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14</xdr:row>
      <xdr:rowOff>0</xdr:rowOff>
    </xdr:from>
    <xdr:to>
      <xdr:col>2</xdr:col>
      <xdr:colOff>510725</xdr:colOff>
      <xdr:row>20</xdr:row>
      <xdr:rowOff>200773</xdr:rowOff>
    </xdr:to>
    <xdr:pic>
      <xdr:nvPicPr>
        <xdr:cNvPr id="2" name="Image 2">
          <a:extLst>
            <a:ext uri="{FF2B5EF4-FFF2-40B4-BE49-F238E27FC236}">
              <a16:creationId xmlns:a16="http://schemas.microsoft.com/office/drawing/2014/main" id="{B91A287B-5E31-CD43-A942-EF92DC88416A}"/>
            </a:ext>
          </a:extLst>
        </xdr:cNvPr>
        <xdr:cNvPicPr/>
      </xdr:nvPicPr>
      <xdr:blipFill>
        <a:blip xmlns:r="http://schemas.openxmlformats.org/officeDocument/2006/relationships" r:embed="rId1"/>
        <a:stretch/>
      </xdr:blipFill>
      <xdr:spPr>
        <a:xfrm>
          <a:off x="1447800" y="11150600"/>
          <a:ext cx="1958525" cy="1419973"/>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776520</xdr:colOff>
      <xdr:row>58</xdr:row>
      <xdr:rowOff>145440</xdr:rowOff>
    </xdr:from>
    <xdr:to>
      <xdr:col>6</xdr:col>
      <xdr:colOff>555880</xdr:colOff>
      <xdr:row>73</xdr:row>
      <xdr:rowOff>55200</xdr:rowOff>
    </xdr:to>
    <xdr:graphicFrame macro="">
      <xdr:nvGraphicFramePr>
        <xdr:cNvPr id="2" name="Chart 1">
          <a:extLst>
            <a:ext uri="{FF2B5EF4-FFF2-40B4-BE49-F238E27FC236}">
              <a16:creationId xmlns:a16="http://schemas.microsoft.com/office/drawing/2014/main" id="{1371894D-431A-1549-8ABB-6BC933B57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814680</xdr:colOff>
      <xdr:row>37</xdr:row>
      <xdr:rowOff>8640</xdr:rowOff>
    </xdr:from>
    <xdr:to>
      <xdr:col>6</xdr:col>
      <xdr:colOff>559480</xdr:colOff>
      <xdr:row>53</xdr:row>
      <xdr:rowOff>14940</xdr:rowOff>
    </xdr:to>
    <xdr:graphicFrame macro="">
      <xdr:nvGraphicFramePr>
        <xdr:cNvPr id="3" name="Chart 2">
          <a:extLst>
            <a:ext uri="{FF2B5EF4-FFF2-40B4-BE49-F238E27FC236}">
              <a16:creationId xmlns:a16="http://schemas.microsoft.com/office/drawing/2014/main" id="{C658E29D-307C-5D42-A05A-32B74D29B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805320</xdr:colOff>
      <xdr:row>36</xdr:row>
      <xdr:rowOff>140760</xdr:rowOff>
    </xdr:from>
    <xdr:to>
      <xdr:col>14</xdr:col>
      <xdr:colOff>1134400</xdr:colOff>
      <xdr:row>52</xdr:row>
      <xdr:rowOff>158800</xdr:rowOff>
    </xdr:to>
    <xdr:graphicFrame macro="">
      <xdr:nvGraphicFramePr>
        <xdr:cNvPr id="4" name="Chart 3">
          <a:extLst>
            <a:ext uri="{FF2B5EF4-FFF2-40B4-BE49-F238E27FC236}">
              <a16:creationId xmlns:a16="http://schemas.microsoft.com/office/drawing/2014/main" id="{E42D6E23-C41D-684B-B4FE-F5773993CC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754560</xdr:colOff>
      <xdr:row>58</xdr:row>
      <xdr:rowOff>70560</xdr:rowOff>
    </xdr:from>
    <xdr:to>
      <xdr:col>15</xdr:col>
      <xdr:colOff>49160</xdr:colOff>
      <xdr:row>73</xdr:row>
      <xdr:rowOff>62040</xdr:rowOff>
    </xdr:to>
    <xdr:graphicFrame macro="">
      <xdr:nvGraphicFramePr>
        <xdr:cNvPr id="5" name="Chart 4">
          <a:extLst>
            <a:ext uri="{FF2B5EF4-FFF2-40B4-BE49-F238E27FC236}">
              <a16:creationId xmlns:a16="http://schemas.microsoft.com/office/drawing/2014/main" id="{160D9C3D-2F8D-CE4A-94C3-DF1E4A7B9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TTLE%20RED%20BOOTS/LRB_ATELIERS%20COACHING/LRB_PROJETS/CANTINES%20DURABLES/Outil%20foodcost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lications"/>
      <sheetName val="1) Feuille d'encodage"/>
      <sheetName val="2) Tableau des prix"/>
      <sheetName val="Moyennes et calculs"/>
      <sheetName val="3) Votre résultat"/>
      <sheetName val="4) Synthèse"/>
      <sheetName val="Tableau des prix et fréquences"/>
      <sheetName val="Graphes"/>
    </sheetNames>
    <sheetDataSet>
      <sheetData sheetId="0"/>
      <sheetData sheetId="1">
        <row r="77">
          <cell r="C77"/>
          <cell r="G77"/>
        </row>
        <row r="107">
          <cell r="C107">
            <v>0</v>
          </cell>
          <cell r="G107">
            <v>0</v>
          </cell>
        </row>
        <row r="114">
          <cell r="C114"/>
        </row>
        <row r="115">
          <cell r="C115"/>
        </row>
        <row r="116">
          <cell r="C116"/>
        </row>
        <row r="117">
          <cell r="C117"/>
        </row>
        <row r="118">
          <cell r="C118"/>
        </row>
        <row r="119">
          <cell r="C119"/>
        </row>
        <row r="120">
          <cell r="C120"/>
        </row>
        <row r="121">
          <cell r="C121"/>
        </row>
        <row r="122">
          <cell r="C122"/>
        </row>
      </sheetData>
      <sheetData sheetId="2">
        <row r="63">
          <cell r="D63"/>
        </row>
        <row r="64">
          <cell r="D64"/>
        </row>
        <row r="65">
          <cell r="D65"/>
        </row>
        <row r="66">
          <cell r="D66"/>
        </row>
        <row r="67">
          <cell r="D67"/>
        </row>
      </sheetData>
      <sheetData sheetId="3"/>
      <sheetData sheetId="4"/>
      <sheetData sheetId="5"/>
      <sheetData sheetId="6"/>
      <sheetData sheetId="7">
        <row r="26">
          <cell r="A26" t="str">
            <v>Soupe</v>
          </cell>
          <cell r="C26">
            <v>9.2798097704812399E-2</v>
          </cell>
          <cell r="J26" t="str">
            <v>Soupe</v>
          </cell>
          <cell r="L26">
            <v>9.2798097704812399E-2</v>
          </cell>
        </row>
        <row r="27">
          <cell r="A27" t="str">
            <v>Plat principal avec overhead</v>
          </cell>
          <cell r="C27">
            <v>0.78691991430859998</v>
          </cell>
          <cell r="J27" t="str">
            <v>Plat principal avec overhead</v>
          </cell>
          <cell r="L27">
            <v>0.78691991430859998</v>
          </cell>
        </row>
        <row r="28">
          <cell r="A28" t="str">
            <v>Dessert</v>
          </cell>
          <cell r="C28">
            <v>0.120281987986588</v>
          </cell>
          <cell r="J28" t="str">
            <v>Dessert</v>
          </cell>
          <cell r="L28">
            <v>0.120281987986588</v>
          </cell>
        </row>
        <row r="34">
          <cell r="J34" t="str">
            <v>VVPOAV</v>
          </cell>
          <cell r="L34">
            <v>0.40207112806855899</v>
          </cell>
        </row>
        <row r="35">
          <cell r="J35" t="str">
            <v>Féculents</v>
          </cell>
          <cell r="L35">
            <v>0.22204080646509899</v>
          </cell>
        </row>
        <row r="36">
          <cell r="J36" t="str">
            <v>Légumes</v>
          </cell>
          <cell r="L36">
            <v>0.204065950427119</v>
          </cell>
        </row>
        <row r="37">
          <cell r="J37" t="str">
            <v>Overheid</v>
          </cell>
          <cell r="L37">
            <v>0.17182211503922201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9F7A-7EDE-A946-9785-B81DD064875E}">
  <dimension ref="A1:G13"/>
  <sheetViews>
    <sheetView workbookViewId="0">
      <selection activeCell="E18" sqref="E18"/>
    </sheetView>
  </sheetViews>
  <sheetFormatPr baseColWidth="10" defaultColWidth="11.6640625" defaultRowHeight="16" x14ac:dyDescent="0.2"/>
  <cols>
    <col min="1" max="6" width="19" customWidth="1"/>
    <col min="7" max="7" width="18.83203125" customWidth="1"/>
  </cols>
  <sheetData>
    <row r="1" spans="1:7" ht="33" x14ac:dyDescent="0.2">
      <c r="A1" s="147" t="s">
        <v>0</v>
      </c>
      <c r="B1" s="147"/>
      <c r="C1" s="147"/>
      <c r="D1" s="147"/>
      <c r="E1" s="147"/>
      <c r="F1" s="147"/>
      <c r="G1" s="147"/>
    </row>
    <row r="2" spans="1:7" x14ac:dyDescent="0.2">
      <c r="A2" s="1"/>
      <c r="G2" s="2"/>
    </row>
    <row r="3" spans="1:7" ht="18" x14ac:dyDescent="0.2">
      <c r="A3" s="148" t="s">
        <v>1</v>
      </c>
      <c r="B3" s="148"/>
      <c r="C3" s="148"/>
      <c r="D3" s="148"/>
      <c r="E3" s="148"/>
      <c r="F3" s="148"/>
      <c r="G3" s="148"/>
    </row>
    <row r="4" spans="1:7" x14ac:dyDescent="0.2">
      <c r="A4" s="1"/>
      <c r="G4" s="2"/>
    </row>
    <row r="5" spans="1:7" s="3" customFormat="1" ht="199" customHeight="1" x14ac:dyDescent="0.2">
      <c r="A5" s="149" t="s">
        <v>2</v>
      </c>
      <c r="B5" s="149"/>
      <c r="C5" s="149"/>
      <c r="D5" s="149"/>
      <c r="E5" s="149"/>
      <c r="F5" s="149"/>
      <c r="G5" s="149"/>
    </row>
    <row r="6" spans="1:7" s="3" customFormat="1" x14ac:dyDescent="0.2">
      <c r="A6" s="4"/>
      <c r="G6" s="5"/>
    </row>
    <row r="7" spans="1:7" ht="18" x14ac:dyDescent="0.2">
      <c r="A7" s="148" t="s">
        <v>3</v>
      </c>
      <c r="B7" s="148"/>
      <c r="C7" s="148"/>
      <c r="D7" s="148"/>
      <c r="E7" s="148"/>
      <c r="F7" s="148"/>
      <c r="G7" s="148"/>
    </row>
    <row r="8" spans="1:7" x14ac:dyDescent="0.2">
      <c r="A8" s="150"/>
      <c r="B8" s="150"/>
      <c r="C8" s="150"/>
      <c r="D8" s="150"/>
      <c r="E8" s="150"/>
      <c r="F8" s="150"/>
      <c r="G8" s="150"/>
    </row>
    <row r="9" spans="1:7" ht="169" customHeight="1" x14ac:dyDescent="0.2">
      <c r="A9" s="150" t="s">
        <v>4</v>
      </c>
      <c r="B9" s="150"/>
      <c r="C9" s="150"/>
      <c r="D9" s="150"/>
      <c r="E9" s="150"/>
      <c r="F9" s="150"/>
      <c r="G9" s="150"/>
    </row>
    <row r="10" spans="1:7" x14ac:dyDescent="0.2">
      <c r="A10" s="6"/>
      <c r="G10" s="2"/>
    </row>
    <row r="11" spans="1:7" ht="18" x14ac:dyDescent="0.2">
      <c r="A11" s="145" t="s">
        <v>5</v>
      </c>
      <c r="B11" s="145"/>
      <c r="C11" s="145"/>
      <c r="D11" s="145"/>
      <c r="E11" s="145"/>
      <c r="F11" s="145"/>
      <c r="G11" s="145"/>
    </row>
    <row r="12" spans="1:7" x14ac:dyDescent="0.2">
      <c r="A12" s="1"/>
      <c r="G12" s="2"/>
    </row>
    <row r="13" spans="1:7" s="3" customFormat="1" ht="311" customHeight="1" x14ac:dyDescent="0.2">
      <c r="A13" s="146" t="s">
        <v>6</v>
      </c>
      <c r="B13" s="146"/>
      <c r="C13" s="146"/>
      <c r="D13" s="146"/>
      <c r="E13" s="146"/>
      <c r="F13" s="146"/>
      <c r="G13" s="146"/>
    </row>
  </sheetData>
  <mergeCells count="8">
    <mergeCell ref="A11:G11"/>
    <mergeCell ref="A13:G13"/>
    <mergeCell ref="A1:G1"/>
    <mergeCell ref="A3:G3"/>
    <mergeCell ref="A5:G5"/>
    <mergeCell ref="A7:G7"/>
    <mergeCell ref="A8:G8"/>
    <mergeCell ref="A9:G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FCD00-76D3-6E46-8EFC-A36935E75037}">
  <dimension ref="A1:AMJ123"/>
  <sheetViews>
    <sheetView workbookViewId="0">
      <selection activeCell="D15" sqref="D15"/>
    </sheetView>
  </sheetViews>
  <sheetFormatPr baseColWidth="10" defaultColWidth="11.5" defaultRowHeight="16" x14ac:dyDescent="0.2"/>
  <cols>
    <col min="1" max="1" width="14" style="23" customWidth="1"/>
    <col min="2" max="2" width="58.5" style="23" customWidth="1"/>
    <col min="3" max="3" width="15.5" style="23" customWidth="1"/>
    <col min="4" max="4" width="15" style="23" customWidth="1"/>
    <col min="5" max="5" width="14.83203125" style="23" customWidth="1"/>
    <col min="6" max="6" width="57.1640625" style="23" customWidth="1"/>
    <col min="7" max="8" width="15" style="23" customWidth="1"/>
    <col min="9" max="9" width="5.83203125" style="23" customWidth="1"/>
    <col min="10" max="10" width="13.83203125" style="23" customWidth="1"/>
    <col min="11" max="11" width="43.33203125" style="23" customWidth="1"/>
    <col min="12" max="12" width="15.33203125" style="23" hidden="1" customWidth="1"/>
    <col min="13" max="13" width="14.6640625" style="23" hidden="1" customWidth="1"/>
    <col min="14" max="14" width="14.83203125" style="23" hidden="1" customWidth="1"/>
    <col min="15" max="17" width="14.83203125" style="23" customWidth="1"/>
    <col min="18" max="1021" width="11.5" style="23"/>
  </cols>
  <sheetData>
    <row r="1" spans="1:1021" ht="33" x14ac:dyDescent="0.35">
      <c r="A1" s="151" t="s">
        <v>7</v>
      </c>
      <c r="B1" s="151"/>
      <c r="C1" s="151"/>
      <c r="D1" s="151"/>
      <c r="E1" s="151"/>
      <c r="F1" s="151"/>
      <c r="G1" s="151"/>
      <c r="H1" s="15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row>
    <row r="2" spans="1:1021" x14ac:dyDescent="0.2">
      <c r="A2"/>
      <c r="B2"/>
      <c r="C2"/>
      <c r="D2"/>
      <c r="E2" s="7"/>
      <c r="F2" s="7"/>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row>
    <row r="3" spans="1:1021" s="8" customFormat="1" ht="28.25" customHeight="1" x14ac:dyDescent="0.2">
      <c r="A3" s="152" t="s">
        <v>8</v>
      </c>
      <c r="B3" s="152"/>
      <c r="C3" s="152"/>
      <c r="D3" s="152"/>
      <c r="E3" s="152"/>
      <c r="F3" s="152"/>
      <c r="G3" s="152"/>
      <c r="H3" s="152"/>
    </row>
    <row r="4" spans="1:1021" x14ac:dyDescent="0.2">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row>
    <row r="5" spans="1:1021" x14ac:dyDescent="0.2">
      <c r="A5" t="s">
        <v>9</v>
      </c>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row>
    <row r="6" spans="1:1021" x14ac:dyDescent="0.2">
      <c r="A6" t="s">
        <v>10</v>
      </c>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row>
    <row r="7" spans="1:1021" x14ac:dyDescent="0.2">
      <c r="A7" t="s">
        <v>11</v>
      </c>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row>
    <row r="8" spans="1:1021" x14ac:dyDescent="0.2">
      <c r="A8" t="s">
        <v>12</v>
      </c>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row>
    <row r="9" spans="1:1021" x14ac:dyDescent="0.2">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row>
    <row r="10" spans="1:1021" s="8" customFormat="1" ht="22.75" customHeight="1" x14ac:dyDescent="0.2">
      <c r="A10" s="153" t="s">
        <v>13</v>
      </c>
      <c r="B10" s="153"/>
      <c r="C10" s="153"/>
      <c r="D10" s="153"/>
      <c r="E10" s="153"/>
      <c r="F10" s="153"/>
      <c r="G10" s="153"/>
      <c r="H10" s="153"/>
      <c r="J10"/>
      <c r="K10"/>
      <c r="L10"/>
      <c r="M10"/>
      <c r="N10"/>
      <c r="O10"/>
      <c r="P10"/>
      <c r="Q10"/>
    </row>
    <row r="11" spans="1:1021" x14ac:dyDescent="0.2">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row>
    <row r="12" spans="1:1021" ht="25.75" customHeight="1" x14ac:dyDescent="0.2">
      <c r="A12" s="9" t="s">
        <v>14</v>
      </c>
      <c r="B12"/>
      <c r="C12"/>
      <c r="D12" s="10"/>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row>
    <row r="13" spans="1:1021" x14ac:dyDescent="0.2">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row>
    <row r="14" spans="1:1021" ht="12.75" customHeight="1" x14ac:dyDescent="0.2">
      <c r="A14" s="11"/>
      <c r="B14" s="12" t="s">
        <v>15</v>
      </c>
      <c r="C14" s="13" t="s">
        <v>16</v>
      </c>
      <c r="D14" s="13" t="s">
        <v>17</v>
      </c>
      <c r="E14" s="13" t="s">
        <v>18</v>
      </c>
      <c r="F14" s="13" t="s">
        <v>19</v>
      </c>
      <c r="G14" s="13" t="s">
        <v>20</v>
      </c>
      <c r="H14" s="13" t="s">
        <v>21</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row>
    <row r="15" spans="1:1021" ht="14.25" customHeight="1" x14ac:dyDescent="0.2">
      <c r="A15" s="14" t="s">
        <v>22</v>
      </c>
      <c r="B15" s="11" t="s">
        <v>23</v>
      </c>
      <c r="C15" s="11" t="s">
        <v>24</v>
      </c>
      <c r="D15" s="10">
        <v>0.03</v>
      </c>
      <c r="E15" s="10">
        <v>0.03</v>
      </c>
      <c r="F15" s="10">
        <v>7.4999999999999997E-2</v>
      </c>
      <c r="G15" s="15">
        <v>0.14000000000000001</v>
      </c>
      <c r="H15" s="10">
        <v>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row>
    <row r="16" spans="1:1021" ht="12.75" customHeight="1" x14ac:dyDescent="0.2">
      <c r="A16" s="154" t="s">
        <v>25</v>
      </c>
      <c r="B16" s="11" t="s">
        <v>26</v>
      </c>
      <c r="C16" s="11" t="s">
        <v>24</v>
      </c>
      <c r="D16" s="16">
        <v>0.03</v>
      </c>
      <c r="E16" s="10">
        <v>0.04</v>
      </c>
      <c r="F16" s="10">
        <v>0.05</v>
      </c>
      <c r="G16" s="15">
        <v>0.06</v>
      </c>
      <c r="H16" s="10">
        <v>0</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row>
    <row r="17" spans="1:1021" ht="12.75" customHeight="1" x14ac:dyDescent="0.2">
      <c r="A17" s="154"/>
      <c r="B17" s="11" t="s">
        <v>27</v>
      </c>
      <c r="C17" s="11" t="s">
        <v>24</v>
      </c>
      <c r="D17" s="10">
        <v>0.125</v>
      </c>
      <c r="E17" s="10">
        <v>0.125</v>
      </c>
      <c r="F17" s="10">
        <v>0.2</v>
      </c>
      <c r="G17" s="15">
        <v>0.25</v>
      </c>
      <c r="H17" s="10">
        <v>0</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row>
    <row r="18" spans="1:1021" ht="12.75" customHeight="1" x14ac:dyDescent="0.2">
      <c r="A18" s="155" t="s">
        <v>28</v>
      </c>
      <c r="B18" s="156" t="s">
        <v>29</v>
      </c>
      <c r="C18" s="156"/>
      <c r="D18" s="156"/>
      <c r="E18" s="156"/>
      <c r="F18" s="156"/>
      <c r="G18" s="156"/>
      <c r="H18" s="156"/>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row>
    <row r="19" spans="1:1021" ht="12.75" customHeight="1" x14ac:dyDescent="0.2">
      <c r="A19" s="155"/>
      <c r="B19" s="11" t="s">
        <v>30</v>
      </c>
      <c r="C19" s="11" t="s">
        <v>31</v>
      </c>
      <c r="D19" s="10">
        <v>0.15</v>
      </c>
      <c r="E19" s="10">
        <v>0.15</v>
      </c>
      <c r="F19" s="10">
        <v>0.2</v>
      </c>
      <c r="G19" s="15">
        <v>0.25</v>
      </c>
      <c r="H19" s="10">
        <v>0</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row>
    <row r="20" spans="1:1021" ht="12.75" customHeight="1" x14ac:dyDescent="0.2">
      <c r="A20" s="155"/>
      <c r="B20" s="11" t="s">
        <v>32</v>
      </c>
      <c r="C20" s="11" t="s">
        <v>24</v>
      </c>
      <c r="D20" s="17">
        <f>D19*C79</f>
        <v>0.06</v>
      </c>
      <c r="E20" s="17">
        <f>E19*C79</f>
        <v>0.06</v>
      </c>
      <c r="F20" s="17">
        <f>F19*C79</f>
        <v>8.0000000000000016E-2</v>
      </c>
      <c r="G20" s="18">
        <f>G19*C79</f>
        <v>0.1</v>
      </c>
      <c r="H20" s="17">
        <f>H19*C79</f>
        <v>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row>
    <row r="21" spans="1:1021" ht="12.75" customHeight="1" x14ac:dyDescent="0.2">
      <c r="A21" s="155"/>
      <c r="B21" s="11" t="s">
        <v>33</v>
      </c>
      <c r="C21" s="11" t="s">
        <v>24</v>
      </c>
      <c r="D21" s="10">
        <v>0.125</v>
      </c>
      <c r="E21" s="10">
        <v>0.125</v>
      </c>
      <c r="F21" s="10">
        <v>0.15</v>
      </c>
      <c r="G21" s="15">
        <v>0.25</v>
      </c>
      <c r="H21" s="10">
        <v>0</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row>
    <row r="22" spans="1:1021" ht="12.75" customHeight="1" x14ac:dyDescent="0.2">
      <c r="A22" s="155"/>
      <c r="B22" s="11" t="s">
        <v>34</v>
      </c>
      <c r="C22" s="11" t="s">
        <v>24</v>
      </c>
      <c r="D22" s="10">
        <f>D20+D21</f>
        <v>0.185</v>
      </c>
      <c r="E22" s="10">
        <f>E20+E21</f>
        <v>0.185</v>
      </c>
      <c r="F22" s="10">
        <f>F20+F21</f>
        <v>0.23</v>
      </c>
      <c r="G22" s="15">
        <f>G20+G21</f>
        <v>0.35</v>
      </c>
      <c r="H22" s="10">
        <v>0</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row>
    <row r="23" spans="1:1021" ht="12.75" customHeight="1" x14ac:dyDescent="0.2">
      <c r="A23" s="159" t="s">
        <v>35</v>
      </c>
      <c r="B23" s="11" t="s">
        <v>36</v>
      </c>
      <c r="C23" s="11" t="s">
        <v>24</v>
      </c>
      <c r="D23" s="16">
        <v>0.15</v>
      </c>
      <c r="E23" s="10">
        <v>0.1</v>
      </c>
      <c r="F23" s="10">
        <v>0.14000000000000001</v>
      </c>
      <c r="G23" s="15">
        <v>0.14000000000000001</v>
      </c>
      <c r="H23" s="10">
        <v>0</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row>
    <row r="24" spans="1:1021" ht="12.75" customHeight="1" x14ac:dyDescent="0.2">
      <c r="A24" s="159"/>
      <c r="B24" s="11" t="s">
        <v>37</v>
      </c>
      <c r="C24" s="11" t="s">
        <v>24</v>
      </c>
      <c r="D24" s="10">
        <v>0.125</v>
      </c>
      <c r="E24" s="10">
        <v>0.1</v>
      </c>
      <c r="F24" s="10">
        <v>0.125</v>
      </c>
      <c r="G24" s="15">
        <v>0.125</v>
      </c>
      <c r="H24" s="10">
        <v>0</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row>
    <row r="25" spans="1:1021" ht="12.75" customHeight="1" x14ac:dyDescent="0.2">
      <c r="A25" s="159"/>
      <c r="B25" s="11" t="s">
        <v>38</v>
      </c>
      <c r="C25" s="11" t="s">
        <v>24</v>
      </c>
      <c r="D25" s="10">
        <v>0.1</v>
      </c>
      <c r="E25" s="10">
        <v>0.125</v>
      </c>
      <c r="F25" s="10">
        <v>0.125</v>
      </c>
      <c r="G25" s="15">
        <v>0.125</v>
      </c>
      <c r="H25" s="10">
        <v>0</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row>
    <row r="26" spans="1:1021" ht="12.75" customHeight="1" x14ac:dyDescent="0.2">
      <c r="A26" s="159"/>
      <c r="B26" s="11" t="s">
        <v>39</v>
      </c>
      <c r="C26" s="11" t="s">
        <v>24</v>
      </c>
      <c r="D26" s="15">
        <v>0</v>
      </c>
      <c r="E26" s="10">
        <v>0.01</v>
      </c>
      <c r="F26" s="10">
        <v>0.05</v>
      </c>
      <c r="G26" s="15">
        <v>0.05</v>
      </c>
      <c r="H26" s="10">
        <v>0</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row>
    <row r="27" spans="1:1021" x14ac:dyDescent="0.2">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row>
    <row r="28" spans="1:1021" ht="21.5" customHeight="1" x14ac:dyDescent="0.2">
      <c r="A28" s="160" t="s">
        <v>40</v>
      </c>
      <c r="B28" s="160"/>
      <c r="C28" s="160"/>
      <c r="D28" s="160"/>
      <c r="E28" s="160"/>
      <c r="F28" s="160"/>
      <c r="G28" s="160"/>
      <c r="H28" s="160"/>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row>
    <row r="29" spans="1:1021" x14ac:dyDescent="0.2">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row>
    <row r="30" spans="1:1021" ht="18" x14ac:dyDescent="0.2">
      <c r="A30" s="19" t="s">
        <v>41</v>
      </c>
      <c r="B30"/>
      <c r="C30"/>
      <c r="D30" s="1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row>
    <row r="31" spans="1:1021" x14ac:dyDescent="0.2">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row>
    <row r="32" spans="1:1021" x14ac:dyDescent="0.2">
      <c r="A32" s="11"/>
      <c r="B32" s="12" t="s">
        <v>15</v>
      </c>
      <c r="C32" s="13" t="s">
        <v>16</v>
      </c>
      <c r="D32" s="13" t="s">
        <v>17</v>
      </c>
      <c r="E32" s="13" t="s">
        <v>18</v>
      </c>
      <c r="F32" s="13" t="s">
        <v>19</v>
      </c>
      <c r="G32" s="13" t="s">
        <v>20</v>
      </c>
      <c r="H32" s="13" t="s">
        <v>42</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row>
    <row r="33" spans="1:1021" x14ac:dyDescent="0.2">
      <c r="A33" s="14" t="s">
        <v>22</v>
      </c>
      <c r="B33" s="11" t="s">
        <v>23</v>
      </c>
      <c r="C33" s="11" t="s">
        <v>24</v>
      </c>
      <c r="D33" s="10">
        <v>0.03</v>
      </c>
      <c r="E33" s="10">
        <v>0.03</v>
      </c>
      <c r="F33" s="10">
        <v>7.4999999999999997E-2</v>
      </c>
      <c r="G33" s="15">
        <v>0.14000000000000001</v>
      </c>
      <c r="H33" s="10">
        <v>0</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row>
    <row r="34" spans="1:1021" x14ac:dyDescent="0.2">
      <c r="A34" s="154" t="s">
        <v>25</v>
      </c>
      <c r="B34" s="11" t="s">
        <v>26</v>
      </c>
      <c r="C34" s="11" t="s">
        <v>24</v>
      </c>
      <c r="D34" s="16">
        <v>0.03</v>
      </c>
      <c r="E34" s="10">
        <v>0.04</v>
      </c>
      <c r="F34" s="10">
        <v>0.05</v>
      </c>
      <c r="G34" s="15">
        <v>0.06</v>
      </c>
      <c r="H34" s="10">
        <v>0</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row>
    <row r="35" spans="1:1021" x14ac:dyDescent="0.2">
      <c r="A35" s="154"/>
      <c r="B35" s="11" t="s">
        <v>27</v>
      </c>
      <c r="C35" s="11" t="s">
        <v>24</v>
      </c>
      <c r="D35" s="10">
        <v>0.125</v>
      </c>
      <c r="E35" s="10">
        <v>0.125</v>
      </c>
      <c r="F35" s="10">
        <v>0.2</v>
      </c>
      <c r="G35" s="15">
        <v>0.25</v>
      </c>
      <c r="H35" s="10">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row>
    <row r="36" spans="1:1021" x14ac:dyDescent="0.2">
      <c r="A36" s="155" t="s">
        <v>28</v>
      </c>
      <c r="B36" s="156" t="s">
        <v>29</v>
      </c>
      <c r="C36" s="156"/>
      <c r="D36" s="156"/>
      <c r="E36" s="156"/>
      <c r="F36" s="156"/>
      <c r="G36" s="156"/>
      <c r="H36" s="15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row>
    <row r="37" spans="1:1021" x14ac:dyDescent="0.2">
      <c r="A37" s="155"/>
      <c r="B37" s="11" t="s">
        <v>30</v>
      </c>
      <c r="C37" s="11" t="s">
        <v>31</v>
      </c>
      <c r="D37" s="10">
        <v>0.15</v>
      </c>
      <c r="E37" s="10">
        <v>0.15</v>
      </c>
      <c r="F37" s="10">
        <v>0.2</v>
      </c>
      <c r="G37" s="15">
        <v>0.25</v>
      </c>
      <c r="H37" s="10">
        <v>0</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row>
    <row r="38" spans="1:1021" x14ac:dyDescent="0.2">
      <c r="A38" s="155"/>
      <c r="B38" s="11" t="s">
        <v>32</v>
      </c>
      <c r="C38" s="11" t="s">
        <v>24</v>
      </c>
      <c r="D38" s="17">
        <f>D37*G79</f>
        <v>0.06</v>
      </c>
      <c r="E38" s="17">
        <f>E37*G79</f>
        <v>0.06</v>
      </c>
      <c r="F38" s="17">
        <f>F37*G79</f>
        <v>8.0000000000000016E-2</v>
      </c>
      <c r="G38" s="18">
        <f>G37*G79</f>
        <v>0.1</v>
      </c>
      <c r="H38" s="17">
        <f>H37*G79</f>
        <v>0</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row>
    <row r="39" spans="1:1021" x14ac:dyDescent="0.2">
      <c r="A39" s="155"/>
      <c r="B39" s="11" t="s">
        <v>33</v>
      </c>
      <c r="C39" s="11" t="s">
        <v>24</v>
      </c>
      <c r="D39" s="10">
        <v>0.125</v>
      </c>
      <c r="E39" s="10">
        <v>0.125</v>
      </c>
      <c r="F39" s="10">
        <v>0.15</v>
      </c>
      <c r="G39" s="15">
        <v>0.25</v>
      </c>
      <c r="H39" s="10">
        <v>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row>
    <row r="40" spans="1:1021" x14ac:dyDescent="0.2">
      <c r="A40" s="155"/>
      <c r="B40" s="11" t="s">
        <v>34</v>
      </c>
      <c r="C40" s="11" t="s">
        <v>24</v>
      </c>
      <c r="D40" s="10">
        <f>D38+D39</f>
        <v>0.185</v>
      </c>
      <c r="E40" s="10">
        <f>E38+E39</f>
        <v>0.185</v>
      </c>
      <c r="F40" s="10">
        <f>F38+F39</f>
        <v>0.23</v>
      </c>
      <c r="G40" s="15">
        <f>G38+G39</f>
        <v>0.35</v>
      </c>
      <c r="H40" s="10">
        <v>0</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row>
    <row r="41" spans="1:1021" x14ac:dyDescent="0.2">
      <c r="A41" s="159" t="s">
        <v>35</v>
      </c>
      <c r="B41" s="11" t="s">
        <v>36</v>
      </c>
      <c r="C41" s="11" t="s">
        <v>24</v>
      </c>
      <c r="D41" s="16">
        <v>0.15</v>
      </c>
      <c r="E41" s="10">
        <v>0.1</v>
      </c>
      <c r="F41" s="10">
        <v>0.14000000000000001</v>
      </c>
      <c r="G41" s="15">
        <v>0.14000000000000001</v>
      </c>
      <c r="H41" s="10">
        <v>0</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row>
    <row r="42" spans="1:1021" x14ac:dyDescent="0.2">
      <c r="A42" s="159"/>
      <c r="B42" s="11" t="s">
        <v>37</v>
      </c>
      <c r="C42" s="11" t="s">
        <v>24</v>
      </c>
      <c r="D42" s="10">
        <v>0.125</v>
      </c>
      <c r="E42" s="10">
        <v>0.1</v>
      </c>
      <c r="F42" s="10">
        <v>0.125</v>
      </c>
      <c r="G42" s="15">
        <v>0.125</v>
      </c>
      <c r="H42" s="10">
        <v>0</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row>
    <row r="43" spans="1:1021" x14ac:dyDescent="0.2">
      <c r="A43" s="159"/>
      <c r="B43" s="11" t="s">
        <v>38</v>
      </c>
      <c r="C43" s="11" t="s">
        <v>24</v>
      </c>
      <c r="D43" s="10">
        <v>0.1</v>
      </c>
      <c r="E43" s="10">
        <v>0.125</v>
      </c>
      <c r="F43" s="10">
        <v>0.125</v>
      </c>
      <c r="G43" s="15">
        <v>0.125</v>
      </c>
      <c r="H43" s="10">
        <v>0</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row>
    <row r="44" spans="1:1021" x14ac:dyDescent="0.2">
      <c r="A44" s="159"/>
      <c r="B44" s="11" t="s">
        <v>39</v>
      </c>
      <c r="C44" s="11" t="s">
        <v>24</v>
      </c>
      <c r="D44" s="15">
        <v>0</v>
      </c>
      <c r="E44" s="10">
        <v>0.01</v>
      </c>
      <c r="F44" s="10">
        <v>0.05</v>
      </c>
      <c r="G44" s="15">
        <v>0.05</v>
      </c>
      <c r="H44" s="10">
        <v>0</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row>
    <row r="45" spans="1:1021" x14ac:dyDescent="0.2">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row>
    <row r="46" spans="1:1021" x14ac:dyDescent="0.2">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row>
    <row r="47" spans="1:1021" ht="18" x14ac:dyDescent="0.2">
      <c r="A47" t="s">
        <v>43</v>
      </c>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row>
    <row r="48" spans="1:1021" x14ac:dyDescent="0.2">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row>
    <row r="49" spans="1:1021" ht="35" customHeight="1" x14ac:dyDescent="0.2">
      <c r="A49" s="20"/>
      <c r="B49" s="21" t="s">
        <v>15</v>
      </c>
      <c r="C49" s="22" t="s">
        <v>16</v>
      </c>
      <c r="D49" s="22" t="s">
        <v>17</v>
      </c>
      <c r="E49" s="22" t="s">
        <v>18</v>
      </c>
      <c r="F49" s="22" t="s">
        <v>19</v>
      </c>
      <c r="G49" s="22" t="s">
        <v>20</v>
      </c>
      <c r="H49" s="22" t="s">
        <v>42</v>
      </c>
    </row>
    <row r="50" spans="1:1021" x14ac:dyDescent="0.2">
      <c r="A50" s="22" t="s">
        <v>22</v>
      </c>
      <c r="B50" s="20" t="s">
        <v>23</v>
      </c>
      <c r="C50" s="20" t="s">
        <v>24</v>
      </c>
      <c r="D50" s="24">
        <v>0.03</v>
      </c>
      <c r="E50" s="24">
        <v>0.03</v>
      </c>
      <c r="F50" s="24">
        <v>7.4999999999999997E-2</v>
      </c>
      <c r="G50" s="25">
        <v>0.1</v>
      </c>
      <c r="H50" s="24">
        <v>0</v>
      </c>
      <c r="I50" s="26"/>
      <c r="J50" s="27"/>
    </row>
    <row r="51" spans="1:1021" x14ac:dyDescent="0.2">
      <c r="A51" s="161" t="s">
        <v>25</v>
      </c>
      <c r="B51" s="20" t="s">
        <v>26</v>
      </c>
      <c r="C51" s="20" t="s">
        <v>24</v>
      </c>
      <c r="D51" s="28">
        <v>0.04</v>
      </c>
      <c r="E51" s="24">
        <v>0.03</v>
      </c>
      <c r="F51" s="24">
        <v>0.05</v>
      </c>
      <c r="G51" s="25">
        <v>0.06</v>
      </c>
      <c r="H51" s="24">
        <v>0</v>
      </c>
      <c r="I51" s="26"/>
      <c r="J51" s="27"/>
    </row>
    <row r="52" spans="1:1021" x14ac:dyDescent="0.2">
      <c r="A52" s="161"/>
      <c r="B52" s="20" t="s">
        <v>27</v>
      </c>
      <c r="C52" s="20" t="s">
        <v>24</v>
      </c>
      <c r="D52" s="24">
        <v>0.125</v>
      </c>
      <c r="E52" s="24">
        <v>0.125</v>
      </c>
      <c r="F52" s="24">
        <v>0.2</v>
      </c>
      <c r="G52" s="25">
        <v>0.25</v>
      </c>
      <c r="H52" s="24">
        <v>0</v>
      </c>
      <c r="I52" s="26"/>
      <c r="J52" s="27"/>
    </row>
    <row r="53" spans="1:1021" x14ac:dyDescent="0.2">
      <c r="A53" s="162" t="s">
        <v>28</v>
      </c>
      <c r="B53" s="163" t="s">
        <v>29</v>
      </c>
      <c r="C53" s="163"/>
      <c r="D53" s="163"/>
      <c r="E53" s="163"/>
      <c r="F53" s="163"/>
      <c r="G53" s="163"/>
      <c r="H53" s="163"/>
      <c r="I53" s="26"/>
      <c r="J53" s="27"/>
    </row>
    <row r="54" spans="1:1021" x14ac:dyDescent="0.2">
      <c r="A54" s="162"/>
      <c r="B54" s="20" t="s">
        <v>30</v>
      </c>
      <c r="C54" s="20" t="s">
        <v>31</v>
      </c>
      <c r="D54" s="24">
        <v>0.15</v>
      </c>
      <c r="E54" s="24">
        <v>0.15</v>
      </c>
      <c r="F54" s="24">
        <v>0.2</v>
      </c>
      <c r="G54" s="25">
        <v>0.25</v>
      </c>
      <c r="H54" s="24">
        <v>0</v>
      </c>
      <c r="I54" s="26"/>
      <c r="J54" s="27"/>
    </row>
    <row r="55" spans="1:1021" x14ac:dyDescent="0.2">
      <c r="A55" s="162"/>
      <c r="B55" s="20" t="s">
        <v>32</v>
      </c>
      <c r="C55" s="20" t="s">
        <v>24</v>
      </c>
      <c r="D55" s="24">
        <f>D54*C79</f>
        <v>0.06</v>
      </c>
      <c r="E55" s="24">
        <f>E54*C79</f>
        <v>0.06</v>
      </c>
      <c r="F55" s="24">
        <f>F54*C79</f>
        <v>8.0000000000000016E-2</v>
      </c>
      <c r="G55" s="25">
        <f>G54*C79</f>
        <v>0.1</v>
      </c>
      <c r="H55" s="24">
        <v>0</v>
      </c>
      <c r="I55" s="27"/>
      <c r="J55" s="27"/>
    </row>
    <row r="56" spans="1:1021" x14ac:dyDescent="0.2">
      <c r="A56" s="162"/>
      <c r="B56" s="20" t="s">
        <v>44</v>
      </c>
      <c r="C56" s="20" t="s">
        <v>24</v>
      </c>
      <c r="D56" s="24">
        <v>0.125</v>
      </c>
      <c r="E56" s="24">
        <v>0.125</v>
      </c>
      <c r="F56" s="24">
        <v>0.15</v>
      </c>
      <c r="G56" s="25">
        <v>0.25</v>
      </c>
      <c r="H56" s="24">
        <v>0</v>
      </c>
      <c r="I56" s="27"/>
      <c r="J56" s="27"/>
    </row>
    <row r="57" spans="1:1021" x14ac:dyDescent="0.2">
      <c r="A57" s="162"/>
      <c r="B57" s="20" t="s">
        <v>34</v>
      </c>
      <c r="C57" s="20" t="s">
        <v>24</v>
      </c>
      <c r="D57" s="24">
        <f>D55+D56</f>
        <v>0.185</v>
      </c>
      <c r="E57" s="24">
        <f>E55+E56</f>
        <v>0.185</v>
      </c>
      <c r="F57" s="24">
        <f>F55+F56</f>
        <v>0.23</v>
      </c>
      <c r="G57" s="25">
        <f>G55+G56</f>
        <v>0.35</v>
      </c>
      <c r="H57" s="24">
        <v>0</v>
      </c>
      <c r="I57" s="27"/>
      <c r="J57" s="27"/>
    </row>
    <row r="58" spans="1:1021" x14ac:dyDescent="0.2">
      <c r="A58" s="162" t="s">
        <v>35</v>
      </c>
      <c r="B58" s="20" t="s">
        <v>36</v>
      </c>
      <c r="C58" s="20" t="s">
        <v>24</v>
      </c>
      <c r="D58" s="28">
        <v>0.15</v>
      </c>
      <c r="E58" s="24">
        <v>0.1</v>
      </c>
      <c r="F58" s="24">
        <v>0.14000000000000001</v>
      </c>
      <c r="G58" s="25">
        <v>0.14000000000000001</v>
      </c>
      <c r="H58" s="24">
        <v>0</v>
      </c>
      <c r="I58" s="27"/>
      <c r="J58" s="27"/>
    </row>
    <row r="59" spans="1:1021" x14ac:dyDescent="0.2">
      <c r="A59" s="162"/>
      <c r="B59" s="20" t="s">
        <v>37</v>
      </c>
      <c r="C59" s="20" t="s">
        <v>24</v>
      </c>
      <c r="D59" s="24">
        <v>0.125</v>
      </c>
      <c r="E59" s="24">
        <v>0.1</v>
      </c>
      <c r="F59" s="24">
        <v>0.125</v>
      </c>
      <c r="G59" s="25">
        <v>0.125</v>
      </c>
      <c r="H59" s="24">
        <v>0</v>
      </c>
      <c r="I59" s="27"/>
    </row>
    <row r="60" spans="1:1021" x14ac:dyDescent="0.2">
      <c r="A60" s="162"/>
      <c r="B60" s="20" t="s">
        <v>38</v>
      </c>
      <c r="C60" s="20" t="s">
        <v>24</v>
      </c>
      <c r="D60" s="24">
        <v>0.1</v>
      </c>
      <c r="E60" s="24">
        <v>0.125</v>
      </c>
      <c r="F60" s="24">
        <v>0.125</v>
      </c>
      <c r="G60" s="25">
        <v>0.125</v>
      </c>
      <c r="H60" s="24">
        <v>0</v>
      </c>
      <c r="I60" s="27"/>
    </row>
    <row r="61" spans="1:1021" x14ac:dyDescent="0.2">
      <c r="A61" s="162"/>
      <c r="B61" s="20" t="s">
        <v>39</v>
      </c>
      <c r="C61" s="20" t="s">
        <v>24</v>
      </c>
      <c r="D61" s="25">
        <v>0</v>
      </c>
      <c r="E61" s="24">
        <v>0.01</v>
      </c>
      <c r="F61" s="24">
        <v>0.05</v>
      </c>
      <c r="G61" s="25">
        <v>0.05</v>
      </c>
      <c r="H61" s="24">
        <v>0</v>
      </c>
      <c r="I61" s="27"/>
    </row>
    <row r="62" spans="1:1021" x14ac:dyDescent="0.2">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row>
    <row r="63" spans="1:1021" x14ac:dyDescent="0.2">
      <c r="A63" s="29" t="s">
        <v>45</v>
      </c>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row>
    <row r="64" spans="1:1021" x14ac:dyDescent="0.2">
      <c r="A64" s="29" t="s">
        <v>46</v>
      </c>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row>
    <row r="65" spans="1:1021" x14ac:dyDescent="0.2">
      <c r="A65" s="29" t="s">
        <v>47</v>
      </c>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row>
    <row r="66" spans="1:1021" x14ac:dyDescent="0.2">
      <c r="A66" s="29" t="s">
        <v>48</v>
      </c>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row>
    <row r="67" spans="1:1021" x14ac:dyDescent="0.2">
      <c r="A67" s="29" t="s">
        <v>49</v>
      </c>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row>
    <row r="68" spans="1:1021" x14ac:dyDescent="0.2">
      <c r="A68" s="29"/>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row>
    <row r="69" spans="1:1021" s="8" customFormat="1" ht="28.25" customHeight="1" x14ac:dyDescent="0.2">
      <c r="A69" s="152" t="s">
        <v>50</v>
      </c>
      <c r="B69" s="152"/>
      <c r="C69" s="152"/>
      <c r="D69" s="152"/>
      <c r="E69" s="152"/>
      <c r="F69" s="152"/>
      <c r="G69" s="152"/>
      <c r="H69" s="152"/>
    </row>
    <row r="70" spans="1:1021" x14ac:dyDescent="0.2">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row>
    <row r="71" spans="1:1021" x14ac:dyDescent="0.2">
      <c r="A71" t="s">
        <v>51</v>
      </c>
      <c r="B71"/>
      <c r="C71"/>
      <c r="D71" s="30"/>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row>
    <row r="72" spans="1:1021" x14ac:dyDescent="0.2">
      <c r="A72"/>
      <c r="B72"/>
      <c r="C72"/>
      <c r="D72" s="30"/>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row>
    <row r="73" spans="1:1021" ht="18" x14ac:dyDescent="0.2">
      <c r="A73" s="9" t="s">
        <v>52</v>
      </c>
      <c r="B73"/>
      <c r="C73" s="10"/>
      <c r="D73" s="30"/>
      <c r="E73" s="9" t="s">
        <v>52</v>
      </c>
      <c r="F73"/>
      <c r="G73" s="10"/>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row>
    <row r="74" spans="1:1021" x14ac:dyDescent="0.2">
      <c r="A74" s="31"/>
      <c r="B74"/>
      <c r="C74"/>
      <c r="D74" s="30"/>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row>
    <row r="75" spans="1:1021" ht="22.75" customHeight="1" x14ac:dyDescent="0.2">
      <c r="A75" s="157" t="s">
        <v>53</v>
      </c>
      <c r="B75" s="157"/>
      <c r="C75" s="157"/>
      <c r="D75" s="30"/>
      <c r="E75" s="158" t="s">
        <v>54</v>
      </c>
      <c r="F75" s="158"/>
      <c r="G75" s="158"/>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row>
    <row r="76" spans="1:1021" ht="13" customHeight="1" x14ac:dyDescent="0.2">
      <c r="A76" s="32"/>
      <c r="B76" s="32" t="s">
        <v>55</v>
      </c>
      <c r="C76" s="33">
        <v>20</v>
      </c>
      <c r="D76" s="34" t="s">
        <v>56</v>
      </c>
      <c r="E76" s="32"/>
      <c r="F76" s="32" t="s">
        <v>55</v>
      </c>
      <c r="G76" s="33">
        <v>20</v>
      </c>
      <c r="H76" s="34" t="s">
        <v>56</v>
      </c>
      <c r="I76"/>
      <c r="J76"/>
      <c r="K76"/>
      <c r="L76"/>
      <c r="N76"/>
      <c r="O76"/>
      <c r="P76"/>
      <c r="Q76"/>
      <c r="R76"/>
      <c r="S76"/>
    </row>
    <row r="77" spans="1:1021" ht="13" customHeight="1" x14ac:dyDescent="0.2">
      <c r="A77" s="32"/>
      <c r="B77" s="32" t="s">
        <v>57</v>
      </c>
      <c r="C77" s="33"/>
      <c r="D77" s="34"/>
      <c r="E77" s="32"/>
      <c r="F77" s="32" t="s">
        <v>57</v>
      </c>
      <c r="G77" s="33"/>
      <c r="H77" s="34"/>
      <c r="I77"/>
      <c r="J77"/>
      <c r="K77"/>
      <c r="L77"/>
      <c r="N77"/>
      <c r="O77"/>
      <c r="P77"/>
      <c r="Q77"/>
      <c r="R77"/>
      <c r="S77"/>
    </row>
    <row r="78" spans="1:1021" ht="13" customHeight="1" x14ac:dyDescent="0.2">
      <c r="A78" s="164" t="s">
        <v>58</v>
      </c>
      <c r="B78" s="164"/>
      <c r="C78" s="164"/>
      <c r="D78" s="35"/>
      <c r="E78" s="164" t="s">
        <v>58</v>
      </c>
      <c r="F78" s="164"/>
      <c r="G78" s="164"/>
      <c r="H78" s="35"/>
      <c r="I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row>
    <row r="79" spans="1:1021" ht="13" customHeight="1" x14ac:dyDescent="0.2">
      <c r="A79" s="32" t="s">
        <v>30</v>
      </c>
      <c r="B79" s="32" t="s">
        <v>59</v>
      </c>
      <c r="C79" s="36">
        <v>0.4</v>
      </c>
      <c r="D79" s="34" t="s">
        <v>56</v>
      </c>
      <c r="E79" s="32" t="s">
        <v>30</v>
      </c>
      <c r="F79" s="32" t="s">
        <v>59</v>
      </c>
      <c r="G79" s="36">
        <v>0.4</v>
      </c>
      <c r="H79" s="34" t="s">
        <v>56</v>
      </c>
      <c r="I79"/>
    </row>
    <row r="80" spans="1:1021" ht="13" customHeight="1" x14ac:dyDescent="0.2">
      <c r="A80" s="32"/>
      <c r="B80" s="32" t="s">
        <v>60</v>
      </c>
      <c r="C80" s="37">
        <v>0</v>
      </c>
      <c r="D80"/>
      <c r="E80" s="32"/>
      <c r="F80" s="32" t="s">
        <v>60</v>
      </c>
      <c r="G80" s="37">
        <v>0</v>
      </c>
      <c r="H80"/>
      <c r="I80"/>
    </row>
    <row r="81" spans="1:1021" ht="40" customHeight="1" x14ac:dyDescent="0.2">
      <c r="A81" s="165" t="s">
        <v>61</v>
      </c>
      <c r="B81" s="165"/>
      <c r="C81" s="165"/>
      <c r="D81"/>
      <c r="E81" s="165" t="s">
        <v>61</v>
      </c>
      <c r="F81" s="165"/>
      <c r="G81" s="165"/>
      <c r="H81"/>
      <c r="I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row>
    <row r="82" spans="1:1021" ht="13" customHeight="1" x14ac:dyDescent="0.2">
      <c r="A82" s="166" t="s">
        <v>62</v>
      </c>
      <c r="B82" s="166"/>
      <c r="C82" s="166"/>
      <c r="D82"/>
      <c r="E82" s="166" t="s">
        <v>62</v>
      </c>
      <c r="F82" s="166"/>
      <c r="G82" s="166"/>
      <c r="H82"/>
      <c r="I82"/>
      <c r="L82" s="23" t="s">
        <v>63</v>
      </c>
      <c r="M82" s="12" t="s">
        <v>53</v>
      </c>
      <c r="N82" s="12" t="s">
        <v>54</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row>
    <row r="83" spans="1:1021" ht="13" customHeight="1" x14ac:dyDescent="0.2">
      <c r="A83" s="32" t="s">
        <v>22</v>
      </c>
      <c r="B83" s="32" t="s">
        <v>64</v>
      </c>
      <c r="C83" s="38">
        <v>4</v>
      </c>
      <c r="D83" s="34" t="s">
        <v>56</v>
      </c>
      <c r="E83" s="32" t="s">
        <v>22</v>
      </c>
      <c r="F83" s="32" t="s">
        <v>64</v>
      </c>
      <c r="G83" s="38">
        <v>4</v>
      </c>
      <c r="H83" s="34" t="s">
        <v>56</v>
      </c>
      <c r="I83"/>
      <c r="M83" s="39">
        <f>C83/C76</f>
        <v>0.2</v>
      </c>
      <c r="N83" s="40">
        <f>G83/G76</f>
        <v>0.2</v>
      </c>
    </row>
    <row r="84" spans="1:1021" ht="13" customHeight="1" x14ac:dyDescent="0.2">
      <c r="A84" s="32"/>
      <c r="B84" s="32" t="s">
        <v>65</v>
      </c>
      <c r="C84" s="38">
        <v>12</v>
      </c>
      <c r="D84" s="34" t="s">
        <v>56</v>
      </c>
      <c r="E84" s="32"/>
      <c r="F84" s="32" t="s">
        <v>65</v>
      </c>
      <c r="G84" s="38">
        <v>12</v>
      </c>
      <c r="H84" s="34" t="s">
        <v>56</v>
      </c>
      <c r="I84"/>
      <c r="M84" s="40">
        <f>C84/C76</f>
        <v>0.6</v>
      </c>
      <c r="N84" s="40">
        <f>G84/G76</f>
        <v>0.6</v>
      </c>
    </row>
    <row r="85" spans="1:1021" ht="13" customHeight="1" x14ac:dyDescent="0.2">
      <c r="A85" s="32"/>
      <c r="B85" s="32" t="s">
        <v>66</v>
      </c>
      <c r="C85" s="38">
        <v>4</v>
      </c>
      <c r="D85" s="34" t="s">
        <v>56</v>
      </c>
      <c r="E85" s="32"/>
      <c r="F85" s="32" t="s">
        <v>66</v>
      </c>
      <c r="G85" s="38">
        <v>4</v>
      </c>
      <c r="H85" s="34" t="s">
        <v>56</v>
      </c>
      <c r="I85"/>
      <c r="M85" s="40">
        <f>C85/C76</f>
        <v>0.2</v>
      </c>
      <c r="N85" s="40">
        <f>G85/G76</f>
        <v>0.2</v>
      </c>
    </row>
    <row r="86" spans="1:1021" ht="13" customHeight="1" x14ac:dyDescent="0.2">
      <c r="A86" s="32"/>
      <c r="B86" s="32" t="s">
        <v>67</v>
      </c>
      <c r="C86" s="41">
        <f>SUM(C83:C85)</f>
        <v>20</v>
      </c>
      <c r="D86"/>
      <c r="E86" s="32"/>
      <c r="F86" s="32" t="s">
        <v>67</v>
      </c>
      <c r="G86" s="41">
        <f>SUM(G83:G85)</f>
        <v>20</v>
      </c>
      <c r="H86"/>
      <c r="I86" s="42"/>
      <c r="M86" s="43">
        <f>SUM(M83:M85)</f>
        <v>1</v>
      </c>
      <c r="N86" s="43">
        <f>SUM(N83:N85)</f>
        <v>1</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row>
    <row r="87" spans="1:1021" ht="19.75" customHeight="1" x14ac:dyDescent="0.2">
      <c r="A87" s="167" t="s">
        <v>68</v>
      </c>
      <c r="B87" s="167"/>
      <c r="C87" s="167"/>
      <c r="D87"/>
      <c r="E87" s="167" t="s">
        <v>68</v>
      </c>
      <c r="F87" s="167"/>
      <c r="G87" s="167"/>
      <c r="H87"/>
      <c r="I87" s="42"/>
      <c r="M87" s="43"/>
      <c r="N87" s="43"/>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row>
    <row r="88" spans="1:1021" ht="13" customHeight="1" x14ac:dyDescent="0.2">
      <c r="A88" s="32" t="s">
        <v>69</v>
      </c>
      <c r="B88" s="32" t="s">
        <v>70</v>
      </c>
      <c r="C88" s="44">
        <v>0</v>
      </c>
      <c r="D88"/>
      <c r="E88" s="32" t="s">
        <v>69</v>
      </c>
      <c r="F88" s="32" t="s">
        <v>70</v>
      </c>
      <c r="G88" s="44">
        <v>0</v>
      </c>
      <c r="H88"/>
      <c r="I88"/>
      <c r="N88" s="45"/>
    </row>
    <row r="89" spans="1:1021" ht="13" customHeight="1" x14ac:dyDescent="0.2">
      <c r="A89" s="32"/>
      <c r="B89" s="32" t="s">
        <v>71</v>
      </c>
      <c r="C89" s="44">
        <v>0</v>
      </c>
      <c r="D89"/>
      <c r="E89" s="32"/>
      <c r="F89" s="32" t="s">
        <v>71</v>
      </c>
      <c r="G89" s="44">
        <v>0</v>
      </c>
      <c r="H89"/>
      <c r="I89"/>
      <c r="N89" s="45"/>
    </row>
    <row r="90" spans="1:1021" ht="21.25" customHeight="1" x14ac:dyDescent="0.2">
      <c r="A90" s="167" t="s">
        <v>72</v>
      </c>
      <c r="B90" s="167"/>
      <c r="C90" s="167"/>
      <c r="D90"/>
      <c r="E90" s="167" t="s">
        <v>72</v>
      </c>
      <c r="F90" s="167"/>
      <c r="G90" s="167"/>
      <c r="H90"/>
      <c r="I90"/>
      <c r="N90" s="45"/>
    </row>
    <row r="91" spans="1:1021" ht="13" customHeight="1" x14ac:dyDescent="0.2">
      <c r="A91" s="32" t="s">
        <v>44</v>
      </c>
      <c r="B91" s="32" t="s">
        <v>73</v>
      </c>
      <c r="C91" s="44">
        <v>0</v>
      </c>
      <c r="D91" s="7"/>
      <c r="E91" s="32" t="s">
        <v>44</v>
      </c>
      <c r="F91" s="32" t="s">
        <v>73</v>
      </c>
      <c r="G91" s="44">
        <v>0</v>
      </c>
      <c r="H91" s="7"/>
      <c r="I91"/>
      <c r="N91" s="45"/>
    </row>
    <row r="92" spans="1:1021" ht="13" customHeight="1" x14ac:dyDescent="0.2">
      <c r="A92" s="32"/>
      <c r="B92" s="32" t="s">
        <v>74</v>
      </c>
      <c r="C92" s="44">
        <v>0</v>
      </c>
      <c r="D92"/>
      <c r="E92" s="32"/>
      <c r="F92" s="32" t="s">
        <v>74</v>
      </c>
      <c r="G92" s="44">
        <v>0</v>
      </c>
      <c r="H92"/>
      <c r="I92"/>
      <c r="N92" s="45"/>
    </row>
    <row r="93" spans="1:1021" ht="25.5" customHeight="1" x14ac:dyDescent="0.2">
      <c r="A93" s="32"/>
      <c r="B93" s="46" t="s">
        <v>75</v>
      </c>
      <c r="C93" s="47" t="s">
        <v>76</v>
      </c>
      <c r="D93"/>
      <c r="E93" s="32"/>
      <c r="F93" s="46" t="s">
        <v>75</v>
      </c>
      <c r="G93" s="47" t="s">
        <v>76</v>
      </c>
      <c r="H93"/>
      <c r="I93"/>
      <c r="N93" s="45"/>
    </row>
    <row r="94" spans="1:1021" ht="13.75" customHeight="1" x14ac:dyDescent="0.2">
      <c r="A94" s="165" t="s">
        <v>77</v>
      </c>
      <c r="B94" s="165"/>
      <c r="C94" s="165"/>
      <c r="D94"/>
      <c r="E94" s="165" t="s">
        <v>78</v>
      </c>
      <c r="F94" s="165"/>
      <c r="G94" s="165"/>
      <c r="H94"/>
      <c r="I94"/>
      <c r="M94"/>
      <c r="N94" s="48"/>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row>
    <row r="95" spans="1:1021" ht="13" customHeight="1" x14ac:dyDescent="0.2">
      <c r="A95" s="166" t="s">
        <v>79</v>
      </c>
      <c r="B95" s="166"/>
      <c r="C95" s="166"/>
      <c r="D95"/>
      <c r="E95" s="166" t="s">
        <v>79</v>
      </c>
      <c r="F95" s="166"/>
      <c r="G95" s="166"/>
      <c r="H95"/>
      <c r="I95"/>
      <c r="L95" s="23" t="s">
        <v>63</v>
      </c>
      <c r="M95" s="12" t="s">
        <v>53</v>
      </c>
      <c r="N95" s="12" t="s">
        <v>54</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row>
    <row r="96" spans="1:1021" ht="13" customHeight="1" x14ac:dyDescent="0.2">
      <c r="A96" s="11"/>
      <c r="B96" s="32" t="s">
        <v>80</v>
      </c>
      <c r="C96" s="33">
        <v>11</v>
      </c>
      <c r="D96" s="34" t="s">
        <v>56</v>
      </c>
      <c r="E96" s="11"/>
      <c r="F96" s="32" t="s">
        <v>80</v>
      </c>
      <c r="G96" s="33">
        <v>11</v>
      </c>
      <c r="H96" s="34" t="s">
        <v>56</v>
      </c>
      <c r="I96"/>
      <c r="M96" s="40">
        <f>C96/C76</f>
        <v>0.55000000000000004</v>
      </c>
      <c r="N96" s="40">
        <f>G96/G76</f>
        <v>0.55000000000000004</v>
      </c>
      <c r="Q96"/>
      <c r="R96"/>
    </row>
    <row r="97" spans="1:1024" ht="13" customHeight="1" x14ac:dyDescent="0.2">
      <c r="A97" s="11"/>
      <c r="B97" s="32" t="s">
        <v>81</v>
      </c>
      <c r="C97" s="33">
        <v>4</v>
      </c>
      <c r="D97" s="34" t="s">
        <v>56</v>
      </c>
      <c r="E97" s="11"/>
      <c r="F97" s="32" t="s">
        <v>81</v>
      </c>
      <c r="G97" s="33">
        <v>4</v>
      </c>
      <c r="H97" s="34" t="s">
        <v>56</v>
      </c>
      <c r="I97"/>
      <c r="M97" s="40">
        <f>C97/C76</f>
        <v>0.2</v>
      </c>
      <c r="N97" s="40">
        <f>G97/G76</f>
        <v>0.2</v>
      </c>
      <c r="Q97"/>
      <c r="R97"/>
    </row>
    <row r="98" spans="1:1024" ht="13" customHeight="1" x14ac:dyDescent="0.2">
      <c r="A98" s="11"/>
      <c r="B98" s="32" t="s">
        <v>82</v>
      </c>
      <c r="C98" s="33">
        <v>0</v>
      </c>
      <c r="D98"/>
      <c r="E98" s="11"/>
      <c r="F98" s="32" t="s">
        <v>82</v>
      </c>
      <c r="G98" s="33">
        <v>0</v>
      </c>
      <c r="H98"/>
      <c r="I98"/>
      <c r="M98" s="40">
        <f>C98/C76</f>
        <v>0</v>
      </c>
      <c r="N98" s="40">
        <f>G98/G76</f>
        <v>0</v>
      </c>
    </row>
    <row r="99" spans="1:1024" ht="13" customHeight="1" x14ac:dyDescent="0.2">
      <c r="A99" s="11"/>
      <c r="B99" s="32" t="s">
        <v>83</v>
      </c>
      <c r="C99" s="33">
        <v>0</v>
      </c>
      <c r="D99"/>
      <c r="E99" s="11"/>
      <c r="F99" s="32" t="s">
        <v>83</v>
      </c>
      <c r="G99" s="33">
        <v>0</v>
      </c>
      <c r="H99"/>
      <c r="I99"/>
      <c r="M99" s="40">
        <f>C99/C76</f>
        <v>0</v>
      </c>
      <c r="N99" s="40">
        <f>G99/G76</f>
        <v>0</v>
      </c>
    </row>
    <row r="100" spans="1:1024" ht="13" customHeight="1" x14ac:dyDescent="0.2">
      <c r="A100" s="11"/>
      <c r="B100" s="32" t="s">
        <v>84</v>
      </c>
      <c r="C100" s="33">
        <v>3</v>
      </c>
      <c r="D100" s="34" t="s">
        <v>56</v>
      </c>
      <c r="E100" s="11"/>
      <c r="F100" s="32" t="s">
        <v>84</v>
      </c>
      <c r="G100" s="33">
        <v>3</v>
      </c>
      <c r="H100" s="34" t="s">
        <v>56</v>
      </c>
      <c r="I100"/>
      <c r="M100" s="40">
        <f>C100/C76</f>
        <v>0.15</v>
      </c>
      <c r="N100" s="40">
        <f>G100/G76</f>
        <v>0.15</v>
      </c>
    </row>
    <row r="101" spans="1:1024" ht="13" customHeight="1" x14ac:dyDescent="0.2">
      <c r="A101" s="11"/>
      <c r="B101" s="32" t="s">
        <v>85</v>
      </c>
      <c r="C101" s="33">
        <v>2</v>
      </c>
      <c r="D101" s="34" t="s">
        <v>56</v>
      </c>
      <c r="E101" s="11"/>
      <c r="F101" s="32" t="s">
        <v>85</v>
      </c>
      <c r="G101" s="33">
        <v>2</v>
      </c>
      <c r="H101" s="34" t="s">
        <v>56</v>
      </c>
      <c r="I101"/>
      <c r="M101" s="40">
        <f>C101/C76</f>
        <v>0.1</v>
      </c>
      <c r="N101" s="40">
        <f>G101/G76</f>
        <v>0.1</v>
      </c>
    </row>
    <row r="102" spans="1:1024" ht="13" customHeight="1" x14ac:dyDescent="0.2">
      <c r="A102" s="11"/>
      <c r="B102" s="32" t="s">
        <v>86</v>
      </c>
      <c r="C102" s="33">
        <v>0</v>
      </c>
      <c r="D102"/>
      <c r="E102" s="11"/>
      <c r="F102" s="32" t="s">
        <v>86</v>
      </c>
      <c r="G102" s="33">
        <v>0</v>
      </c>
      <c r="H102"/>
      <c r="I102"/>
      <c r="M102" s="40">
        <f>C102/C76</f>
        <v>0</v>
      </c>
      <c r="N102" s="40">
        <f>G102/G76</f>
        <v>0</v>
      </c>
    </row>
    <row r="103" spans="1:1024" ht="13" customHeight="1" x14ac:dyDescent="0.2">
      <c r="A103" s="11"/>
      <c r="B103" s="32" t="s">
        <v>87</v>
      </c>
      <c r="C103" s="11">
        <f>SUM(C96:C102)</f>
        <v>20</v>
      </c>
      <c r="D103"/>
      <c r="E103" s="11"/>
      <c r="F103" s="32" t="s">
        <v>87</v>
      </c>
      <c r="G103" s="11">
        <f>SUM(G96:G102)</f>
        <v>20</v>
      </c>
      <c r="H103"/>
      <c r="I103"/>
      <c r="M103" s="40">
        <f>SUM(M96:M102)</f>
        <v>1</v>
      </c>
      <c r="N103" s="40">
        <f>SUM(N96:N102)</f>
        <v>1</v>
      </c>
    </row>
    <row r="104" spans="1:1024" ht="13" customHeight="1" x14ac:dyDescent="0.2">
      <c r="A104" s="32" t="s">
        <v>36</v>
      </c>
      <c r="B104" s="32" t="s">
        <v>88</v>
      </c>
      <c r="C104" s="44">
        <v>0</v>
      </c>
      <c r="D104"/>
      <c r="E104" s="32" t="s">
        <v>36</v>
      </c>
      <c r="F104" s="32" t="s">
        <v>88</v>
      </c>
      <c r="G104" s="44">
        <v>0</v>
      </c>
      <c r="H104"/>
      <c r="I104"/>
      <c r="N104" s="45"/>
    </row>
    <row r="105" spans="1:1024" ht="13" customHeight="1" x14ac:dyDescent="0.2">
      <c r="A105" s="32" t="s">
        <v>37</v>
      </c>
      <c r="B105" s="32" t="s">
        <v>88</v>
      </c>
      <c r="C105" s="44">
        <v>0</v>
      </c>
      <c r="D105"/>
      <c r="E105" s="32" t="s">
        <v>37</v>
      </c>
      <c r="F105" s="32" t="s">
        <v>88</v>
      </c>
      <c r="G105" s="44">
        <v>0</v>
      </c>
      <c r="H105"/>
      <c r="I105"/>
      <c r="N105" s="45"/>
    </row>
    <row r="106" spans="1:1024" ht="13" customHeight="1" x14ac:dyDescent="0.2">
      <c r="A106" s="166" t="s">
        <v>89</v>
      </c>
      <c r="B106" s="166"/>
      <c r="C106" s="166"/>
      <c r="D106"/>
      <c r="E106" s="166" t="s">
        <v>89</v>
      </c>
      <c r="F106" s="166"/>
      <c r="G106" s="166"/>
      <c r="H106"/>
      <c r="I106"/>
      <c r="N106" s="45"/>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c r="ABH106"/>
      <c r="ABI106"/>
      <c r="ABJ106"/>
      <c r="ABK106"/>
      <c r="ABL106"/>
      <c r="ABM106"/>
      <c r="ABN106"/>
      <c r="ABO106"/>
      <c r="ABP106"/>
      <c r="ABQ106"/>
      <c r="ABR106"/>
      <c r="ABS106"/>
      <c r="ABT106"/>
      <c r="ABU106"/>
      <c r="ABV106"/>
      <c r="ABW106"/>
      <c r="ABX106"/>
      <c r="ABY106"/>
      <c r="ABZ106"/>
      <c r="ACA106"/>
      <c r="ACB106"/>
      <c r="ACC106"/>
      <c r="ACD106"/>
      <c r="ACE106"/>
      <c r="ACF106"/>
      <c r="ACG106"/>
      <c r="ACH106"/>
      <c r="ACI106"/>
      <c r="ACJ106"/>
      <c r="ACK106"/>
      <c r="ACL106"/>
      <c r="ACM106"/>
      <c r="ACN106"/>
      <c r="ACO106"/>
      <c r="ACP106"/>
      <c r="ACQ106"/>
      <c r="ACR106"/>
      <c r="ACS106"/>
      <c r="ACT106"/>
      <c r="ACU106"/>
      <c r="ACV106"/>
      <c r="ACW106"/>
      <c r="ACX106"/>
      <c r="ACY106"/>
      <c r="ACZ106"/>
      <c r="ADA106"/>
      <c r="ADB106"/>
      <c r="ADC106"/>
      <c r="ADD106"/>
      <c r="ADE106"/>
      <c r="ADF106"/>
      <c r="ADG106"/>
      <c r="ADH106"/>
      <c r="ADI106"/>
      <c r="ADJ106"/>
      <c r="ADK106"/>
      <c r="ADL106"/>
      <c r="ADM106"/>
      <c r="ADN106"/>
      <c r="ADO106"/>
      <c r="ADP106"/>
      <c r="ADQ106"/>
      <c r="ADR106"/>
      <c r="ADS106"/>
      <c r="ADT106"/>
      <c r="ADU106"/>
      <c r="ADV106"/>
      <c r="ADW106"/>
      <c r="ADX106"/>
      <c r="ADY106"/>
      <c r="ADZ106"/>
      <c r="AEA106"/>
      <c r="AEB106"/>
      <c r="AEC106"/>
      <c r="AED106"/>
      <c r="AEE106"/>
      <c r="AEF106"/>
      <c r="AEG106"/>
      <c r="AEH106"/>
      <c r="AEI106"/>
      <c r="AEJ106"/>
      <c r="AEK106"/>
      <c r="AEL106"/>
      <c r="AEM106"/>
      <c r="AEN106"/>
      <c r="AEO106"/>
      <c r="AEP106"/>
      <c r="AEQ106"/>
      <c r="AER106"/>
      <c r="AES106"/>
      <c r="AET106"/>
      <c r="AEU106"/>
      <c r="AEV106"/>
      <c r="AEW106"/>
      <c r="AEX106"/>
      <c r="AEY106"/>
      <c r="AEZ106"/>
      <c r="AFA106"/>
      <c r="AFB106"/>
      <c r="AFC106"/>
      <c r="AFD106"/>
      <c r="AFE106"/>
      <c r="AFF106"/>
      <c r="AFG106"/>
      <c r="AFH106"/>
      <c r="AFI106"/>
      <c r="AFJ106"/>
      <c r="AFK106"/>
      <c r="AFL106"/>
      <c r="AFM106"/>
      <c r="AFN106"/>
      <c r="AFO106"/>
      <c r="AFP106"/>
      <c r="AFQ106"/>
      <c r="AFR106"/>
      <c r="AFS106"/>
      <c r="AFT106"/>
      <c r="AFU106"/>
      <c r="AFV106"/>
      <c r="AFW106"/>
      <c r="AFX106"/>
      <c r="AFY106"/>
      <c r="AFZ106"/>
      <c r="AGA106"/>
      <c r="AGB106"/>
      <c r="AGC106"/>
      <c r="AGD106"/>
      <c r="AGE106"/>
      <c r="AGF106"/>
      <c r="AGG106"/>
      <c r="AGH106"/>
      <c r="AGI106"/>
      <c r="AGJ106"/>
      <c r="AGK106"/>
      <c r="AGL106"/>
      <c r="AGM106"/>
      <c r="AGN106"/>
      <c r="AGO106"/>
      <c r="AGP106"/>
      <c r="AGQ106"/>
      <c r="AGR106"/>
      <c r="AGS106"/>
      <c r="AGT106"/>
      <c r="AGU106"/>
      <c r="AGV106"/>
      <c r="AGW106"/>
      <c r="AGX106"/>
      <c r="AGY106"/>
      <c r="AGZ106"/>
      <c r="AHA106"/>
      <c r="AHB106"/>
      <c r="AHC106"/>
      <c r="AHD106"/>
      <c r="AHE106"/>
      <c r="AHF106"/>
      <c r="AHG106"/>
      <c r="AHH106"/>
      <c r="AHI106"/>
      <c r="AHJ106"/>
      <c r="AHK106"/>
      <c r="AHL106"/>
      <c r="AHM106"/>
      <c r="AHN106"/>
      <c r="AHO106"/>
      <c r="AHP106"/>
      <c r="AHQ106"/>
      <c r="AHR106"/>
      <c r="AHS106"/>
      <c r="AHT106"/>
      <c r="AHU106"/>
      <c r="AHV106"/>
      <c r="AHW106"/>
      <c r="AHX106"/>
      <c r="AHY106"/>
      <c r="AHZ106"/>
      <c r="AIA106"/>
      <c r="AIB106"/>
      <c r="AIC106"/>
      <c r="AID106"/>
      <c r="AIE106"/>
      <c r="AIF106"/>
      <c r="AIG106"/>
      <c r="AIH106"/>
      <c r="AII106"/>
      <c r="AIJ106"/>
      <c r="AIK106"/>
      <c r="AIL106"/>
      <c r="AIM106"/>
      <c r="AIN106"/>
      <c r="AIO106"/>
      <c r="AIP106"/>
      <c r="AIQ106"/>
      <c r="AIR106"/>
      <c r="AIS106"/>
      <c r="AIT106"/>
      <c r="AIU106"/>
      <c r="AIV106"/>
      <c r="AIW106"/>
      <c r="AIX106"/>
      <c r="AIY106"/>
      <c r="AIZ106"/>
      <c r="AJA106"/>
      <c r="AJB106"/>
      <c r="AJC106"/>
      <c r="AJD106"/>
      <c r="AJE106"/>
      <c r="AJF106"/>
      <c r="AJG106"/>
      <c r="AJH106"/>
      <c r="AJI106"/>
      <c r="AJJ106"/>
      <c r="AJK106"/>
      <c r="AJL106"/>
      <c r="AJM106"/>
      <c r="AJN106"/>
      <c r="AJO106"/>
      <c r="AJP106"/>
      <c r="AJQ106"/>
      <c r="AJR106"/>
      <c r="AJS106"/>
      <c r="AJT106"/>
      <c r="AJU106"/>
      <c r="AJV106"/>
      <c r="AJW106"/>
      <c r="AJX106"/>
      <c r="AJY106"/>
      <c r="AJZ106"/>
      <c r="AKA106"/>
      <c r="AKB106"/>
      <c r="AKC106"/>
      <c r="AKD106"/>
      <c r="AKE106"/>
      <c r="AKF106"/>
      <c r="AKG106"/>
      <c r="AKH106"/>
      <c r="AKI106"/>
      <c r="AKJ106"/>
      <c r="AKK106"/>
      <c r="AKL106"/>
      <c r="AKM106"/>
      <c r="AKN106"/>
      <c r="AKO106"/>
      <c r="AKP106"/>
      <c r="AKQ106"/>
      <c r="AKR106"/>
      <c r="AKS106"/>
      <c r="AKT106"/>
      <c r="AKU106"/>
      <c r="AKV106"/>
      <c r="AKW106"/>
      <c r="AKX106"/>
      <c r="AKY106"/>
      <c r="AKZ106"/>
      <c r="ALA106"/>
      <c r="ALB106"/>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row>
    <row r="107" spans="1:1024" ht="13" customHeight="1" x14ac:dyDescent="0.2">
      <c r="A107" s="11"/>
      <c r="B107" s="32" t="s">
        <v>90</v>
      </c>
      <c r="C107" s="44">
        <v>0</v>
      </c>
      <c r="D107"/>
      <c r="E107" s="11"/>
      <c r="F107" s="32" t="s">
        <v>90</v>
      </c>
      <c r="G107" s="44">
        <v>0</v>
      </c>
      <c r="H107"/>
      <c r="I107"/>
      <c r="N107" s="45"/>
    </row>
    <row r="108" spans="1:1024" ht="53" customHeight="1" x14ac:dyDescent="0.2">
      <c r="A108" s="169" t="s">
        <v>91</v>
      </c>
      <c r="B108" s="169"/>
      <c r="C108" s="169"/>
      <c r="D108"/>
      <c r="E108" s="169" t="s">
        <v>91</v>
      </c>
      <c r="F108" s="169"/>
      <c r="G108" s="169"/>
      <c r="H108"/>
      <c r="I108"/>
      <c r="M108"/>
      <c r="N108" s="48"/>
    </row>
    <row r="109" spans="1:1024" x14ac:dyDescent="0.2">
      <c r="A109" s="49" t="s">
        <v>92</v>
      </c>
      <c r="B109"/>
      <c r="C109"/>
      <c r="D109"/>
      <c r="E109" s="49" t="s">
        <v>92</v>
      </c>
      <c r="F109"/>
      <c r="G109"/>
      <c r="H109"/>
      <c r="I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row>
    <row r="110" spans="1:1024" x14ac:dyDescent="0.2">
      <c r="A110"/>
      <c r="B110"/>
      <c r="C110"/>
      <c r="D110"/>
      <c r="E110" s="3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c r="ABH110"/>
      <c r="ABI110"/>
      <c r="ABJ110"/>
      <c r="ABK110"/>
      <c r="ABL110"/>
      <c r="ABM110"/>
      <c r="ABN110"/>
      <c r="ABO110"/>
      <c r="ABP110"/>
      <c r="ABQ110"/>
      <c r="ABR110"/>
      <c r="ABS110"/>
      <c r="ABT110"/>
      <c r="ABU110"/>
      <c r="ABV110"/>
      <c r="ABW110"/>
      <c r="ABX110"/>
      <c r="ABY110"/>
      <c r="ABZ110"/>
      <c r="ACA110"/>
      <c r="ACB110"/>
      <c r="ACC110"/>
      <c r="ACD110"/>
      <c r="ACE110"/>
      <c r="ACF110"/>
      <c r="ACG110"/>
      <c r="ACH110"/>
      <c r="ACI110"/>
      <c r="ACJ110"/>
      <c r="ACK110"/>
      <c r="ACL110"/>
      <c r="ACM110"/>
      <c r="ACN110"/>
      <c r="ACO110"/>
      <c r="ACP110"/>
      <c r="ACQ110"/>
      <c r="ACR110"/>
      <c r="ACS110"/>
      <c r="ACT110"/>
      <c r="ACU110"/>
      <c r="ACV110"/>
      <c r="ACW110"/>
      <c r="ACX110"/>
      <c r="ACY110"/>
      <c r="ACZ110"/>
      <c r="ADA110"/>
      <c r="ADB110"/>
      <c r="ADC110"/>
      <c r="ADD110"/>
      <c r="ADE110"/>
      <c r="ADF110"/>
      <c r="ADG110"/>
      <c r="ADH110"/>
      <c r="ADI110"/>
      <c r="ADJ110"/>
      <c r="ADK110"/>
      <c r="ADL110"/>
      <c r="ADM110"/>
      <c r="ADN110"/>
      <c r="ADO110"/>
      <c r="ADP110"/>
      <c r="ADQ110"/>
      <c r="ADR110"/>
      <c r="ADS110"/>
      <c r="ADT110"/>
      <c r="ADU110"/>
      <c r="ADV110"/>
      <c r="ADW110"/>
      <c r="ADX110"/>
      <c r="ADY110"/>
      <c r="ADZ110"/>
      <c r="AEA110"/>
      <c r="AEB110"/>
      <c r="AEC110"/>
      <c r="AED110"/>
      <c r="AEE110"/>
      <c r="AEF110"/>
      <c r="AEG110"/>
      <c r="AEH110"/>
      <c r="AEI110"/>
      <c r="AEJ110"/>
      <c r="AEK110"/>
      <c r="AEL110"/>
      <c r="AEM110"/>
      <c r="AEN110"/>
      <c r="AEO110"/>
      <c r="AEP110"/>
      <c r="AEQ110"/>
      <c r="AER110"/>
      <c r="AES110"/>
      <c r="AET110"/>
      <c r="AEU110"/>
      <c r="AEV110"/>
      <c r="AEW110"/>
      <c r="AEX110"/>
      <c r="AEY110"/>
      <c r="AEZ110"/>
      <c r="AFA110"/>
      <c r="AFB110"/>
      <c r="AFC110"/>
      <c r="AFD110"/>
      <c r="AFE110"/>
      <c r="AFF110"/>
      <c r="AFG110"/>
      <c r="AFH110"/>
      <c r="AFI110"/>
      <c r="AFJ110"/>
      <c r="AFK110"/>
      <c r="AFL110"/>
      <c r="AFM110"/>
      <c r="AFN110"/>
      <c r="AFO110"/>
      <c r="AFP110"/>
      <c r="AFQ110"/>
      <c r="AFR110"/>
      <c r="AFS110"/>
      <c r="AFT110"/>
      <c r="AFU110"/>
      <c r="AFV110"/>
      <c r="AFW110"/>
      <c r="AFX110"/>
      <c r="AFY110"/>
      <c r="AFZ110"/>
      <c r="AGA110"/>
      <c r="AGB110"/>
      <c r="AGC110"/>
      <c r="AGD110"/>
      <c r="AGE110"/>
      <c r="AGF110"/>
      <c r="AGG110"/>
      <c r="AGH110"/>
      <c r="AGI110"/>
      <c r="AGJ110"/>
      <c r="AGK110"/>
      <c r="AGL110"/>
      <c r="AGM110"/>
      <c r="AGN110"/>
      <c r="AGO110"/>
      <c r="AGP110"/>
      <c r="AGQ110"/>
      <c r="AGR110"/>
      <c r="AGS110"/>
      <c r="AGT110"/>
      <c r="AGU110"/>
      <c r="AGV110"/>
      <c r="AGW110"/>
      <c r="AGX110"/>
      <c r="AGY110"/>
      <c r="AGZ110"/>
      <c r="AHA110"/>
      <c r="AHB110"/>
      <c r="AHC110"/>
      <c r="AHD110"/>
      <c r="AHE110"/>
      <c r="AHF110"/>
      <c r="AHG110"/>
      <c r="AHH110"/>
      <c r="AHI110"/>
      <c r="AHJ110"/>
      <c r="AHK110"/>
      <c r="AHL110"/>
      <c r="AHM110"/>
      <c r="AHN110"/>
      <c r="AHO110"/>
      <c r="AHP110"/>
      <c r="AHQ110"/>
      <c r="AHR110"/>
      <c r="AHS110"/>
      <c r="AHT110"/>
      <c r="AHU110"/>
      <c r="AHV110"/>
      <c r="AHW110"/>
      <c r="AHX110"/>
      <c r="AHY110"/>
      <c r="AHZ110"/>
      <c r="AIA110"/>
      <c r="AIB110"/>
      <c r="AIC110"/>
      <c r="AID110"/>
      <c r="AIE110"/>
      <c r="AIF110"/>
      <c r="AIG110"/>
      <c r="AIH110"/>
      <c r="AII110"/>
      <c r="AIJ110"/>
      <c r="AIK110"/>
      <c r="AIL110"/>
      <c r="AIM110"/>
      <c r="AIN110"/>
      <c r="AIO110"/>
      <c r="AIP110"/>
      <c r="AIQ110"/>
      <c r="AIR110"/>
      <c r="AIS110"/>
      <c r="AIT110"/>
      <c r="AIU110"/>
      <c r="AIV110"/>
      <c r="AIW110"/>
      <c r="AIX110"/>
      <c r="AIY110"/>
      <c r="AIZ110"/>
      <c r="AJA110"/>
      <c r="AJB110"/>
      <c r="AJC110"/>
      <c r="AJD110"/>
      <c r="AJE110"/>
      <c r="AJF110"/>
      <c r="AJG110"/>
      <c r="AJH110"/>
      <c r="AJI110"/>
      <c r="AJJ110"/>
      <c r="AJK110"/>
      <c r="AJL110"/>
      <c r="AJM110"/>
      <c r="AJN110"/>
      <c r="AJO110"/>
      <c r="AJP110"/>
      <c r="AJQ110"/>
      <c r="AJR110"/>
      <c r="AJS110"/>
      <c r="AJT110"/>
      <c r="AJU110"/>
      <c r="AJV110"/>
      <c r="AJW110"/>
      <c r="AJX110"/>
      <c r="AJY110"/>
      <c r="AJZ110"/>
      <c r="AKA110"/>
      <c r="AKB110"/>
      <c r="AKC110"/>
      <c r="AKD110"/>
      <c r="AKE110"/>
      <c r="AKF110"/>
      <c r="AKG110"/>
      <c r="AKH110"/>
      <c r="AKI110"/>
      <c r="AKJ110"/>
      <c r="AKK110"/>
      <c r="AKL110"/>
      <c r="AKM110"/>
      <c r="AKN110"/>
      <c r="AKO110"/>
      <c r="AKP110"/>
      <c r="AKQ110"/>
      <c r="AKR110"/>
      <c r="AKS110"/>
      <c r="AKT110"/>
      <c r="AKU110"/>
      <c r="AKV110"/>
      <c r="AKW110"/>
      <c r="AKX110"/>
      <c r="AKY110"/>
      <c r="AKZ110"/>
      <c r="ALA110"/>
      <c r="ALB110"/>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row>
    <row r="111" spans="1:1024" s="50" customFormat="1" ht="28.25" customHeight="1" x14ac:dyDescent="0.2">
      <c r="A111" s="152" t="s">
        <v>93</v>
      </c>
      <c r="B111" s="152"/>
      <c r="C111" s="152"/>
      <c r="D111" s="152"/>
      <c r="E111" s="152"/>
      <c r="F111" s="152"/>
      <c r="G111" s="152"/>
      <c r="H111" s="152"/>
      <c r="AMH111" s="8"/>
      <c r="AMI111" s="8"/>
      <c r="AMJ111" s="8"/>
    </row>
    <row r="112" spans="1:1024" x14ac:dyDescent="0.2">
      <c r="D112" s="30"/>
      <c r="E112" s="30"/>
      <c r="F112" s="30"/>
      <c r="H112" s="30"/>
    </row>
    <row r="113" spans="1:8" ht="22.75" customHeight="1" x14ac:dyDescent="0.2">
      <c r="A113" s="168" t="s">
        <v>94</v>
      </c>
      <c r="B113" s="168"/>
      <c r="C113" s="168"/>
      <c r="D113" s="30"/>
      <c r="H113" s="30"/>
    </row>
    <row r="114" spans="1:8" ht="19.75" customHeight="1" x14ac:dyDescent="0.2">
      <c r="A114" s="51" t="s">
        <v>95</v>
      </c>
      <c r="B114" s="51" t="s">
        <v>96</v>
      </c>
      <c r="C114" s="51"/>
    </row>
    <row r="115" spans="1:8" ht="25.25" customHeight="1" x14ac:dyDescent="0.2">
      <c r="A115" s="51"/>
      <c r="B115" s="52" t="s">
        <v>97</v>
      </c>
      <c r="C115" s="51"/>
    </row>
    <row r="116" spans="1:8" ht="19.75" customHeight="1" x14ac:dyDescent="0.2">
      <c r="A116" s="51" t="s">
        <v>98</v>
      </c>
      <c r="B116" s="51" t="s">
        <v>99</v>
      </c>
      <c r="C116" s="51"/>
    </row>
    <row r="117" spans="1:8" ht="19.75" customHeight="1" x14ac:dyDescent="0.2">
      <c r="A117" s="51" t="s">
        <v>22</v>
      </c>
      <c r="B117" s="51" t="s">
        <v>100</v>
      </c>
      <c r="C117" s="51"/>
    </row>
    <row r="118" spans="1:8" ht="19.75" customHeight="1" x14ac:dyDescent="0.2">
      <c r="A118" s="51"/>
      <c r="B118" s="51" t="s">
        <v>101</v>
      </c>
      <c r="C118" s="51"/>
    </row>
    <row r="119" spans="1:8" ht="19.75" customHeight="1" x14ac:dyDescent="0.2">
      <c r="A119" s="51"/>
      <c r="B119" s="51" t="s">
        <v>102</v>
      </c>
      <c r="C119" s="51"/>
    </row>
    <row r="120" spans="1:8" ht="19.75" customHeight="1" x14ac:dyDescent="0.2">
      <c r="A120" s="51" t="s">
        <v>69</v>
      </c>
      <c r="B120" s="51" t="s">
        <v>103</v>
      </c>
      <c r="C120" s="51"/>
    </row>
    <row r="121" spans="1:8" ht="19.75" customHeight="1" x14ac:dyDescent="0.2">
      <c r="A121" s="51" t="s">
        <v>44</v>
      </c>
      <c r="B121" s="51" t="s">
        <v>104</v>
      </c>
      <c r="C121" s="51"/>
    </row>
    <row r="122" spans="1:8" ht="19.75" customHeight="1" x14ac:dyDescent="0.2">
      <c r="A122" s="51" t="s">
        <v>105</v>
      </c>
      <c r="B122" s="51" t="s">
        <v>106</v>
      </c>
      <c r="C122" s="51"/>
    </row>
    <row r="123" spans="1:8" ht="21" customHeight="1" x14ac:dyDescent="0.2">
      <c r="A123" s="51"/>
      <c r="B123" s="51" t="s">
        <v>107</v>
      </c>
      <c r="C123" s="51"/>
    </row>
  </sheetData>
  <mergeCells count="39">
    <mergeCell ref="A111:H111"/>
    <mergeCell ref="A113:C113"/>
    <mergeCell ref="A95:C95"/>
    <mergeCell ref="E95:G95"/>
    <mergeCell ref="A106:C106"/>
    <mergeCell ref="E106:G106"/>
    <mergeCell ref="A108:C108"/>
    <mergeCell ref="E108:G108"/>
    <mergeCell ref="A87:C87"/>
    <mergeCell ref="E87:G87"/>
    <mergeCell ref="A90:C90"/>
    <mergeCell ref="E90:G90"/>
    <mergeCell ref="A94:C94"/>
    <mergeCell ref="E94:G94"/>
    <mergeCell ref="A78:C78"/>
    <mergeCell ref="E78:G78"/>
    <mergeCell ref="A81:C81"/>
    <mergeCell ref="E81:G81"/>
    <mergeCell ref="A82:C82"/>
    <mergeCell ref="E82:G82"/>
    <mergeCell ref="A75:C75"/>
    <mergeCell ref="E75:G75"/>
    <mergeCell ref="A23:A26"/>
    <mergeCell ref="A28:H28"/>
    <mergeCell ref="A34:A35"/>
    <mergeCell ref="A36:A40"/>
    <mergeCell ref="B36:H36"/>
    <mergeCell ref="A41:A44"/>
    <mergeCell ref="A51:A52"/>
    <mergeCell ref="A53:A57"/>
    <mergeCell ref="B53:H53"/>
    <mergeCell ref="A58:A61"/>
    <mergeCell ref="A69:H69"/>
    <mergeCell ref="A1:H1"/>
    <mergeCell ref="A3:H3"/>
    <mergeCell ref="A10:H10"/>
    <mergeCell ref="A16:A17"/>
    <mergeCell ref="A18:A22"/>
    <mergeCell ref="B18:H18"/>
  </mergeCells>
  <dataValidations count="13">
    <dataValidation type="list" operator="equal" allowBlank="1" showErrorMessage="1" sqref="C118:C121" xr:uid="{FB53AEA8-B3FD-CF4C-A27E-E33A876B158C}">
      <formula1>"Oui,Non,"</formula1>
      <formula2>0</formula2>
    </dataValidation>
    <dataValidation type="list" operator="equal" allowBlank="1" showErrorMessage="1" sqref="C107:C108 G107:G108 C123" xr:uid="{606FE48C-DE5D-3941-A8FC-6C8820FE97E8}">
      <formula1>"0%,5%,10%,15%,20%,25%,30%,35%,40%,45%,50%"</formula1>
      <formula2>0</formula2>
    </dataValidation>
    <dataValidation type="list" operator="equal" allowBlank="1" showErrorMessage="1" sqref="C106 G106" xr:uid="{2ADEE765-E911-3641-8831-98D8C1C2AC15}">
      <formula1>"0,5,10,15,20,30,40"</formula1>
      <formula2>0</formula2>
    </dataValidation>
    <dataValidation type="whole" operator="equal" allowBlank="1" showInputMessage="1" showErrorMessage="1" prompt="Le nombre total de dessert ne peut pas dépasser le nombre de jours d’ouverture de la cantine. " sqref="C103 G103" xr:uid="{C45E8B94-FC2F-E14D-87F2-DFF787E536C3}">
      <formula1>20</formula1>
      <formula2>0</formula2>
    </dataValidation>
    <dataValidation type="list" operator="equal" allowBlank="1" showErrorMessage="1" sqref="C96:C102 G96:G102" xr:uid="{2A653BFF-52AB-7448-AAC2-C03B3C5AA148}">
      <formula1>"0,1,2,3,4,5,6,7,8,9,10,11,12,13,14,15,16,17,18,19,20,21,22,23,24,25,26,27,28"</formula1>
      <formula2>0</formula2>
    </dataValidation>
    <dataValidation type="list" operator="equal" allowBlank="1" showErrorMessage="1" sqref="C93 C122 C116:C117 C114 G93" xr:uid="{3A986C0F-E77B-F446-86A8-C57105C76330}">
      <formula1>"Oui,Non"</formula1>
      <formula2>0</formula2>
    </dataValidation>
    <dataValidation type="list" operator="equal" allowBlank="1" showErrorMessage="1" sqref="C91 G91" xr:uid="{11DAA130-443B-A247-B433-770A8ED68E5C}">
      <formula1>"0%,10%,20%,30%,40%,50%,60%,70%,80%,90%,100%,"</formula1>
      <formula2>0</formula2>
    </dataValidation>
    <dataValidation type="whole" operator="equal" allowBlank="1" showInputMessage="1" showErrorMessage="1" error="Le nombre totale de VVPOLAV dépasse le nombre de jour d'ouverture de la cantine par mois" prompt="Le nombre total de VVPOLAV ne peut pas dépasser le nombre de jours d’ouverture de la cantine par mois." sqref="C86:C87 G86:G87" xr:uid="{5663BB3B-AB1B-214C-857A-6AED55547009}">
      <formula1>20</formula1>
      <formula2>0</formula2>
    </dataValidation>
    <dataValidation type="list" operator="equal" showErrorMessage="1" sqref="C83:C85 G83:G85" xr:uid="{8A90EE34-A4F2-0245-AD56-CBC0B345BD40}">
      <formula1>"0,1,2,3,4,5,6,7,8,9,10,11,12,13,14,15,16,17,18,19,20"</formula1>
      <formula2>0</formula2>
    </dataValidation>
    <dataValidation type="list" operator="equal" allowBlank="1" showErrorMessage="1" sqref="C80:C81 G80:G81 C104:C105 G104:G105 C92 G92 C94 G94 C88:C90 G88:G90" xr:uid="{40379127-FB76-F846-81E8-4CCAF967C40A}">
      <formula1>"0%,10%,20%,30%,40%,50%,60%,70%,80%,90%,100%"</formula1>
      <formula2>0</formula2>
    </dataValidation>
    <dataValidation type="list" operator="equal" allowBlank="1" showInputMessage="1" showErrorMessage="1" sqref="C79 G79" xr:uid="{9B9DCB49-6B8D-0746-B562-D31BA5C7958E}">
      <formula1>"30%,40%,60%"</formula1>
      <formula2>0</formula2>
    </dataValidation>
    <dataValidation operator="equal" allowBlank="1" showErrorMessage="1" sqref="C77 G77 C115" xr:uid="{ECA07A88-A21C-BE47-8577-B77E338DBCFB}">
      <formula1>0</formula1>
      <formula2>0</formula2>
    </dataValidation>
    <dataValidation type="list" operator="equal" allowBlank="1" showErrorMessage="1" sqref="C76 G76" xr:uid="{36B13FEC-019C-764F-86A7-F3FCA6B244FE}">
      <formula1>"1,2,3,4,5,6,7,8,9,10,11,12,13,14,15,16,17,18,19,20,21,22,23,24,25,26,27,28,29,30"</formula1>
      <formula2>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493E-F245-8E4C-88CC-109039A5DC48}">
  <dimension ref="A1:H52"/>
  <sheetViews>
    <sheetView workbookViewId="0">
      <selection activeCell="F45" sqref="F45"/>
    </sheetView>
  </sheetViews>
  <sheetFormatPr baseColWidth="10" defaultRowHeight="16" x14ac:dyDescent="0.2"/>
  <cols>
    <col min="1" max="1" width="50.6640625" customWidth="1"/>
    <col min="2" max="2" width="19.1640625" customWidth="1"/>
    <col min="5" max="5" width="49.33203125" bestFit="1" customWidth="1"/>
    <col min="8" max="8" width="43.83203125" bestFit="1" customWidth="1"/>
  </cols>
  <sheetData>
    <row r="1" spans="1:5" ht="33" x14ac:dyDescent="0.35">
      <c r="A1" s="151" t="s">
        <v>253</v>
      </c>
      <c r="B1" s="151"/>
    </row>
    <row r="3" spans="1:5" x14ac:dyDescent="0.2">
      <c r="A3" t="s">
        <v>254</v>
      </c>
    </row>
    <row r="5" spans="1:5" x14ac:dyDescent="0.2">
      <c r="A5" s="80" t="s">
        <v>22</v>
      </c>
      <c r="B5" s="81" t="s">
        <v>255</v>
      </c>
    </row>
    <row r="6" spans="1:5" x14ac:dyDescent="0.2">
      <c r="A6" s="11" t="s">
        <v>113</v>
      </c>
      <c r="B6" s="139" cm="1">
        <f t="array" ref="B6:E6">'Tableau des prix et fréquences'!C23:F23</f>
        <v>13.448923076923077</v>
      </c>
      <c r="C6">
        <v>0</v>
      </c>
      <c r="D6">
        <v>0</v>
      </c>
      <c r="E6">
        <v>0</v>
      </c>
    </row>
    <row r="7" spans="1:5" x14ac:dyDescent="0.2">
      <c r="A7" s="11" t="s">
        <v>127</v>
      </c>
      <c r="B7" s="140" cm="1">
        <f t="array" ref="B7:E7">'Tableau des prix et fréquences'!C29:F29</f>
        <v>14.0649</v>
      </c>
      <c r="C7">
        <v>0</v>
      </c>
      <c r="D7">
        <v>0</v>
      </c>
      <c r="E7">
        <v>0</v>
      </c>
    </row>
    <row r="8" spans="1:5" x14ac:dyDescent="0.2">
      <c r="A8" s="11" t="s">
        <v>132</v>
      </c>
      <c r="B8" s="140" cm="1">
        <f t="array" ref="B8:E8">'Tableau des prix et fréquences'!C35:F35</f>
        <v>6.1536666666666662</v>
      </c>
      <c r="C8">
        <v>0</v>
      </c>
      <c r="D8">
        <v>0</v>
      </c>
      <c r="E8">
        <v>0</v>
      </c>
    </row>
    <row r="11" spans="1:5" x14ac:dyDescent="0.2">
      <c r="A11" s="82" t="s">
        <v>137</v>
      </c>
      <c r="B11" s="81" t="s">
        <v>255</v>
      </c>
    </row>
    <row r="12" spans="1:5" x14ac:dyDescent="0.2">
      <c r="A12" s="11" t="s">
        <v>138</v>
      </c>
      <c r="B12" s="141" cm="1">
        <f t="array" ref="B12:E12">'Tableau des prix et fréquences'!C58:F58</f>
        <v>2.5529999999999999</v>
      </c>
      <c r="C12">
        <v>0</v>
      </c>
      <c r="D12">
        <v>0</v>
      </c>
      <c r="E12">
        <v>0</v>
      </c>
    </row>
    <row r="13" spans="1:5" x14ac:dyDescent="0.2">
      <c r="A13" s="11" t="s">
        <v>154</v>
      </c>
      <c r="B13" s="142" cm="1">
        <f t="array" ref="B13:E13">'Tableau des prix et fréquences'!J58:M58</f>
        <v>4.0838400000000004</v>
      </c>
      <c r="C13">
        <v>0</v>
      </c>
      <c r="D13">
        <v>0</v>
      </c>
      <c r="E13">
        <v>0</v>
      </c>
    </row>
    <row r="14" spans="1:5" x14ac:dyDescent="0.2">
      <c r="A14" s="11" t="s">
        <v>166</v>
      </c>
      <c r="B14" s="141" cm="1">
        <f t="array" ref="B14:E14">'Tableau des prix et fréquences'!C71:F71</f>
        <v>3.2010610000000006</v>
      </c>
      <c r="C14">
        <v>0</v>
      </c>
      <c r="D14">
        <v>0</v>
      </c>
      <c r="E14">
        <v>0</v>
      </c>
    </row>
    <row r="15" spans="1:5" x14ac:dyDescent="0.2">
      <c r="A15" s="11" t="s">
        <v>176</v>
      </c>
      <c r="B15" s="141" cm="1">
        <f t="array" ref="B15:E15">'Tableau des prix et fréquences'!J71:M71</f>
        <v>4.2674560000000001</v>
      </c>
      <c r="C15">
        <v>0</v>
      </c>
      <c r="D15">
        <v>0</v>
      </c>
      <c r="E15">
        <v>0</v>
      </c>
    </row>
    <row r="16" spans="1:5" x14ac:dyDescent="0.2">
      <c r="A16" s="11" t="s">
        <v>256</v>
      </c>
      <c r="B16" s="142" cm="1">
        <f t="array" ref="B16:E16">'Tableau des prix et fréquences'!C85:F85</f>
        <v>2.8770305</v>
      </c>
      <c r="C16">
        <v>0</v>
      </c>
      <c r="D16">
        <v>0</v>
      </c>
      <c r="E16">
        <v>0</v>
      </c>
    </row>
    <row r="17" spans="1:5" x14ac:dyDescent="0.2">
      <c r="A17" s="11" t="s">
        <v>257</v>
      </c>
      <c r="B17" s="142" cm="1">
        <f t="array" ref="B17:E17">'Tableau des prix et fréquences'!J85:M85</f>
        <v>4.1756480000000007</v>
      </c>
      <c r="C17">
        <v>0</v>
      </c>
      <c r="D17">
        <v>0</v>
      </c>
      <c r="E17">
        <v>0</v>
      </c>
    </row>
    <row r="18" spans="1:5" x14ac:dyDescent="0.2">
      <c r="A18" s="11" t="s">
        <v>258</v>
      </c>
      <c r="B18" s="142" cm="1">
        <f t="array" ref="B18:E18">'Tableau des prix et fréquences'!C83:F83</f>
        <v>3.4060000000000001</v>
      </c>
      <c r="C18">
        <v>0</v>
      </c>
      <c r="D18">
        <v>0</v>
      </c>
      <c r="E18">
        <v>0</v>
      </c>
    </row>
    <row r="19" spans="1:5" x14ac:dyDescent="0.2">
      <c r="A19" s="11" t="s">
        <v>259</v>
      </c>
      <c r="B19" s="142" cm="1">
        <f t="array" ref="B19:E19">'Tableau des prix et fréquences'!J83:M83</f>
        <v>3.9672222222222229</v>
      </c>
      <c r="C19">
        <v>0</v>
      </c>
      <c r="D19">
        <v>0</v>
      </c>
      <c r="E19">
        <v>0</v>
      </c>
    </row>
    <row r="21" spans="1:5" x14ac:dyDescent="0.2">
      <c r="A21" s="83" t="s">
        <v>25</v>
      </c>
      <c r="B21" s="81" t="s">
        <v>255</v>
      </c>
    </row>
    <row r="22" spans="1:5" x14ac:dyDescent="0.2">
      <c r="A22" s="11" t="s">
        <v>202</v>
      </c>
      <c r="B22" s="141" cm="1">
        <f t="array" ref="B22:E22">'Tableau des prix et fréquences'!C99:F99</f>
        <v>2.6466249999999998</v>
      </c>
      <c r="C22">
        <v>0</v>
      </c>
      <c r="D22">
        <v>0</v>
      </c>
      <c r="E22">
        <v>0</v>
      </c>
    </row>
    <row r="23" spans="1:5" x14ac:dyDescent="0.2">
      <c r="A23" s="11" t="s">
        <v>210</v>
      </c>
      <c r="B23" s="141" cm="1">
        <f t="array" ref="B23:E23">'Tableau des prix et fréquences'!C104:F104</f>
        <v>1.8069999999999997</v>
      </c>
      <c r="C23">
        <v>0</v>
      </c>
      <c r="D23">
        <v>0</v>
      </c>
      <c r="E23">
        <v>0</v>
      </c>
    </row>
    <row r="24" spans="1:5" x14ac:dyDescent="0.2">
      <c r="A24" s="11" t="s">
        <v>212</v>
      </c>
      <c r="B24" s="141" cm="1">
        <f t="array" ref="B24:E24">'Tableau des prix et fréquences'!J99:M99</f>
        <v>3.2886250000000001</v>
      </c>
      <c r="C24">
        <v>0</v>
      </c>
      <c r="D24">
        <v>0</v>
      </c>
      <c r="E24">
        <v>0</v>
      </c>
    </row>
    <row r="25" spans="1:5" x14ac:dyDescent="0.2">
      <c r="A25" s="11" t="s">
        <v>220</v>
      </c>
      <c r="B25" s="141" cm="1">
        <f t="array" ref="B25:E25">'Tableau des prix et fréquences'!J104:M104</f>
        <v>2.1</v>
      </c>
      <c r="C25">
        <v>0</v>
      </c>
      <c r="D25">
        <v>0</v>
      </c>
      <c r="E25">
        <v>0</v>
      </c>
    </row>
    <row r="28" spans="1:5" x14ac:dyDescent="0.2">
      <c r="A28" s="84" t="s">
        <v>35</v>
      </c>
      <c r="B28" s="81" t="s">
        <v>255</v>
      </c>
    </row>
    <row r="29" spans="1:5" x14ac:dyDescent="0.2">
      <c r="A29" s="11" t="s">
        <v>222</v>
      </c>
      <c r="B29" s="141" cm="1">
        <f t="array" ref="B29:E29">'Tableau des prix et fréquences'!C116:F116</f>
        <v>2.4881818181818183</v>
      </c>
      <c r="C29">
        <v>0</v>
      </c>
      <c r="D29">
        <v>0</v>
      </c>
      <c r="E29">
        <v>0</v>
      </c>
    </row>
    <row r="30" spans="1:5" x14ac:dyDescent="0.2">
      <c r="A30" s="11" t="s">
        <v>229</v>
      </c>
      <c r="B30" s="141" cm="1">
        <f t="array" ref="B30:E30">'Tableau des prix et fréquences'!C121:F121</f>
        <v>1.9624999999999999</v>
      </c>
      <c r="C30">
        <v>0</v>
      </c>
      <c r="D30">
        <v>0</v>
      </c>
      <c r="E30">
        <v>0</v>
      </c>
    </row>
    <row r="31" spans="1:5" x14ac:dyDescent="0.2">
      <c r="A31" s="11" t="s">
        <v>228</v>
      </c>
      <c r="B31" s="141" cm="1">
        <f t="array" ref="B31:E31">'Tableau des prix et fréquences'!J116:M116</f>
        <v>3.0136363636363641</v>
      </c>
      <c r="C31">
        <v>0</v>
      </c>
      <c r="D31">
        <v>0</v>
      </c>
      <c r="E31">
        <v>0</v>
      </c>
    </row>
    <row r="32" spans="1:5" x14ac:dyDescent="0.2">
      <c r="A32" s="11" t="s">
        <v>232</v>
      </c>
      <c r="B32" s="141" cm="1">
        <f t="array" ref="B32:E32">'Tableau des prix et fréquences'!J121:M121</f>
        <v>2.0489999999999999</v>
      </c>
      <c r="C32">
        <v>0</v>
      </c>
      <c r="D32">
        <v>0</v>
      </c>
      <c r="E32">
        <v>0</v>
      </c>
    </row>
    <row r="33" spans="1:8" x14ac:dyDescent="0.2">
      <c r="A33" s="11" t="s">
        <v>235</v>
      </c>
      <c r="B33" s="141" cm="1">
        <f t="array" ref="B33:E33">'Tableau des prix et fréquences'!C125:F125</f>
        <v>2.2909999999999999</v>
      </c>
      <c r="C33">
        <v>0</v>
      </c>
      <c r="D33">
        <v>0</v>
      </c>
      <c r="E33">
        <v>0</v>
      </c>
    </row>
    <row r="34" spans="1:8" x14ac:dyDescent="0.2">
      <c r="A34" s="11" t="s">
        <v>260</v>
      </c>
      <c r="B34" s="141" cm="1">
        <f t="array" ref="B34:E34">'Tableau des prix et fréquences'!J125:M125</f>
        <v>4.7300000000000004</v>
      </c>
      <c r="C34">
        <v>0</v>
      </c>
      <c r="D34">
        <v>0</v>
      </c>
      <c r="E34">
        <v>0</v>
      </c>
    </row>
    <row r="35" spans="1:8" x14ac:dyDescent="0.2">
      <c r="A35" s="11" t="s">
        <v>239</v>
      </c>
      <c r="B35" s="141" cm="1">
        <f t="array" ref="B35:E35">'Tableau des prix et fréquences'!C132:F132</f>
        <v>3.9764999999999997</v>
      </c>
      <c r="C35">
        <v>0</v>
      </c>
      <c r="D35">
        <v>0</v>
      </c>
      <c r="E35">
        <v>0</v>
      </c>
    </row>
    <row r="36" spans="1:8" x14ac:dyDescent="0.2">
      <c r="A36" s="11" t="s">
        <v>244</v>
      </c>
      <c r="B36" s="141" cm="1">
        <f t="array" ref="B36:E36">'Tableau des prix et fréquences'!J132:M132</f>
        <v>7.2409999999999997</v>
      </c>
      <c r="C36">
        <v>0</v>
      </c>
      <c r="D36">
        <v>0</v>
      </c>
      <c r="E36">
        <v>0</v>
      </c>
    </row>
    <row r="37" spans="1:8" x14ac:dyDescent="0.2">
      <c r="A37" s="11" t="s">
        <v>247</v>
      </c>
      <c r="B37" s="141" cm="1">
        <f t="array" ref="B37:E37">'Tableau des prix et fréquences'!C137:F137</f>
        <v>16.3855</v>
      </c>
      <c r="C37">
        <v>0</v>
      </c>
      <c r="D37">
        <v>0</v>
      </c>
      <c r="E37">
        <v>0</v>
      </c>
    </row>
    <row r="38" spans="1:8" x14ac:dyDescent="0.2">
      <c r="A38" s="11" t="s">
        <v>250</v>
      </c>
      <c r="B38" s="141" cm="1">
        <f t="array" ref="B38:E38">'Tableau des prix et fréquences'!J137:M137</f>
        <v>2.6550000000000002</v>
      </c>
      <c r="C38">
        <v>0</v>
      </c>
      <c r="D38">
        <v>0</v>
      </c>
      <c r="E38">
        <v>0</v>
      </c>
    </row>
    <row r="40" spans="1:8" x14ac:dyDescent="0.2">
      <c r="A40" s="85" t="s">
        <v>261</v>
      </c>
      <c r="B40" s="11"/>
      <c r="E40" s="85" t="s">
        <v>262</v>
      </c>
      <c r="F40" s="11"/>
      <c r="H40" s="86" t="s">
        <v>263</v>
      </c>
    </row>
    <row r="41" spans="1:8" x14ac:dyDescent="0.2">
      <c r="A41" s="11" t="s">
        <v>264</v>
      </c>
      <c r="B41" s="142">
        <f>B15*'1) Feuille d''encodage'!C92+'Moyennes et calculs'!B14*('1) Feuille d''encodage'!C91-'1) Feuille d''encodage'!C92)+'Moyennes et calculs'!B12*(1-'1) Feuille d''encodage'!C91)</f>
        <v>2.5529999999999999</v>
      </c>
      <c r="D41" s="87">
        <f>IF('1) Feuille d''encodage'!C91&gt;'1) Feuille d''encodage'!C92,B41,B42)</f>
        <v>2.5529999999999999</v>
      </c>
      <c r="E41" s="11" t="s">
        <v>264</v>
      </c>
      <c r="F41" s="142">
        <f>B15*('1) Feuille d''encodage'!C92)+'Moyennes et calculs'!B14*('1) Feuille d''encodage'!C91-'1) Feuille d''encodage'!C92)+'Moyennes et calculs'!B18*(1-'1) Feuille d''encodage'!C91)</f>
        <v>3.4060000000000001</v>
      </c>
      <c r="H41" s="88">
        <f>IF('1) Feuille d''encodage'!C93="Oui",F43,B43)</f>
        <v>2.5529999999999999</v>
      </c>
    </row>
    <row r="42" spans="1:8" x14ac:dyDescent="0.2">
      <c r="A42" s="11" t="s">
        <v>265</v>
      </c>
      <c r="B42" s="142">
        <f>B15*('1) Feuille d''encodage'!C91)+'Moyennes et calculs'!B13*('1) Feuille d''encodage'!C92-'1) Feuille d''encodage'!C91)+'Moyennes et calculs'!B12*(1-'1) Feuille d''encodage'!C92)</f>
        <v>2.5529999999999999</v>
      </c>
      <c r="E42" s="11" t="s">
        <v>265</v>
      </c>
      <c r="F42" s="142">
        <f>'Moyennes et calculs'!B15*('1) Feuille d''encodage'!C91)+'Moyennes et calculs'!B19*('1) Feuille d''encodage'!C92-'1) Feuille d''encodage'!C91)+'Moyennes et calculs'!B18*(1-'1) Feuille d''encodage'!C92)</f>
        <v>3.4060000000000001</v>
      </c>
    </row>
    <row r="43" spans="1:8" x14ac:dyDescent="0.2">
      <c r="A43" s="89" t="s">
        <v>266</v>
      </c>
      <c r="B43" s="144">
        <f>IF('1) Feuille d''encodage'!C91&gt;='1) Feuille d''encodage'!C92,'Moyennes et calculs'!B44,'Moyennes et calculs'!B45)</f>
        <v>2.5529999999999999</v>
      </c>
      <c r="E43" s="89" t="s">
        <v>266</v>
      </c>
      <c r="F43" s="144" cm="1">
        <f t="array" ref="F43:H43">IF('1) Feuille d''encodage'!A106:C106&gt;='1) Feuille d''encodage'!C107,F44,F45)</f>
        <v>3.4060000000000001</v>
      </c>
      <c r="G43">
        <v>3.4060000000000001</v>
      </c>
      <c r="H43">
        <v>3.4060000000000001</v>
      </c>
    </row>
    <row r="44" spans="1:8" x14ac:dyDescent="0.2">
      <c r="A44" s="89" t="s">
        <v>267</v>
      </c>
      <c r="B44" s="144">
        <f>'1) Feuille d''encodage'!C92*'Tableau des prix et fréquences'!G71+('1) Feuille d''encodage'!C91-'1) Feuille d''encodage'!C92)*'Tableau des prix et fréquences'!G71+(1-'1) Feuille d''encodage'!C91)*'Tableau des prix et fréquences'!G58</f>
        <v>2.5529999999999999</v>
      </c>
      <c r="E44" s="89" t="s">
        <v>267</v>
      </c>
      <c r="F44" s="144">
        <f>'1) Feuille d''encodage'!C92*'Tableau des prix et fréquences'!G71+('1) Feuille d''encodage'!C91-'1) Feuille d''encodage'!C92)*'Tableau des prix et fréquences'!G71+(1-'1) Feuille d''encodage'!C91)*'Tableau des prix et fréquences'!G83</f>
        <v>3.4060000000000001</v>
      </c>
    </row>
    <row r="45" spans="1:8" x14ac:dyDescent="0.2">
      <c r="A45" s="89" t="s">
        <v>268</v>
      </c>
      <c r="B45" s="144">
        <f>'1) Feuille d''encodage'!C91*'Tableau des prix et fréquences'!G71+('1) Feuille d''encodage'!C92-'1) Feuille d''encodage'!C91)*'Tableau des prix et fréquences'!N58+(1-'1) Feuille d''encodage'!C92)*'Tableau des prix et fréquences'!G58</f>
        <v>2.5529999999999999</v>
      </c>
      <c r="E45" s="89" t="s">
        <v>268</v>
      </c>
      <c r="F45" s="144">
        <f>'1) Feuille d''encodage'!C92*'Tableau des prix et fréquences'!G71+('1) Feuille d''encodage'!C92-'1) Feuille d''encodage'!C91)*'Tableau des prix et fréquences'!N83+(1-'1) Feuille d''encodage'!C92)*'Tableau des prix et fréquences'!G83</f>
        <v>3.4060000000000001</v>
      </c>
    </row>
    <row r="47" spans="1:8" x14ac:dyDescent="0.2">
      <c r="A47" s="85" t="s">
        <v>269</v>
      </c>
      <c r="E47" s="85" t="s">
        <v>270</v>
      </c>
    </row>
    <row r="48" spans="1:8" x14ac:dyDescent="0.2">
      <c r="A48" s="11" t="s">
        <v>264</v>
      </c>
      <c r="B48" s="141">
        <f>'Moyennes et calculs'!B15*('1) Feuille d''encodage'!G92)+'Moyennes et calculs'!B14*('1) Feuille d''encodage'!G91-'1) Feuille d''encodage'!G92)+'Moyennes et calculs'!B12*(1-'1) Feuille d''encodage'!G91)</f>
        <v>2.5529999999999999</v>
      </c>
      <c r="D48" s="87">
        <f>IF('1) Feuille d''encodage'!G91&gt;'1) Feuille d''encodage'!G92,B48,B49)</f>
        <v>2.5529999999999999</v>
      </c>
      <c r="E48" s="11" t="s">
        <v>264</v>
      </c>
      <c r="F48" s="141">
        <f>B15*('1) Feuille d''encodage'!G92)+'Moyennes et calculs'!B14*('1) Feuille d''encodage'!G91-'1) Feuille d''encodage'!G92)+'Moyennes et calculs'!B18*(1-'1) Feuille d''encodage'!G91)</f>
        <v>3.4060000000000001</v>
      </c>
      <c r="H48" s="88">
        <f>IF('1) Feuille d''encodage'!C93="Oui",F50,B50)</f>
        <v>2.5529999999999999</v>
      </c>
    </row>
    <row r="49" spans="1:6" x14ac:dyDescent="0.2">
      <c r="A49" s="11" t="s">
        <v>265</v>
      </c>
      <c r="B49" s="142">
        <f>B15*('1) Feuille d''encodage'!G91)+'Moyennes et calculs'!B13*('1) Feuille d''encodage'!G92-'1) Feuille d''encodage'!G91)+'Moyennes et calculs'!B12*(1-'1) Feuille d''encodage'!G92)</f>
        <v>2.5529999999999999</v>
      </c>
      <c r="E49" s="11" t="s">
        <v>265</v>
      </c>
      <c r="F49" s="142">
        <f>B15*('1) Feuille d''encodage'!G91)+'Moyennes et calculs'!B14*('1) Feuille d''encodage'!G92-'1) Feuille d''encodage'!G91)+'Moyennes et calculs'!B18*(1-'1) Feuille d''encodage'!G92)</f>
        <v>3.4060000000000001</v>
      </c>
    </row>
    <row r="50" spans="1:6" x14ac:dyDescent="0.2">
      <c r="A50" s="89" t="s">
        <v>266</v>
      </c>
      <c r="B50" s="141">
        <f>IF('1) Feuille d''encodage'!G91&gt;='1) Feuille d''encodage'!G92,'Moyennes et calculs'!B51,'Moyennes et calculs'!B52)</f>
        <v>2.5529999999999999</v>
      </c>
      <c r="E50" s="89" t="s">
        <v>266</v>
      </c>
      <c r="F50" s="141">
        <f>IF('1) Feuille d''encodage'!G106&gt;='1) Feuille d''encodage'!G107,F51,F52)</f>
        <v>3.4060000000000001</v>
      </c>
    </row>
    <row r="51" spans="1:6" x14ac:dyDescent="0.2">
      <c r="A51" s="89" t="s">
        <v>267</v>
      </c>
      <c r="B51" s="141">
        <f>'1) Feuille d''encodage'!G92*'Tableau des prix et fréquences'!N71+('1) Feuille d''encodage'!G91-'1) Feuille d''encodage'!G92)*'Tableau des prix et fréquences'!G71+(1-'1) Feuille d''encodage'!G91)*'Tableau des prix et fréquences'!G58</f>
        <v>2.5529999999999999</v>
      </c>
      <c r="E51" s="89" t="s">
        <v>267</v>
      </c>
      <c r="F51" s="141">
        <f>'1) Feuille d''encodage'!G92*'Tableau des prix et fréquences'!N71+('1) Feuille d''encodage'!G91-'1) Feuille d''encodage'!G92)*'Tableau des prix et fréquences'!G71+(1-'1) Feuille d''encodage'!G91)*'Tableau des prix et fréquences'!G83</f>
        <v>3.4060000000000001</v>
      </c>
    </row>
    <row r="52" spans="1:6" x14ac:dyDescent="0.2">
      <c r="A52" s="89" t="s">
        <v>268</v>
      </c>
      <c r="B52" s="141">
        <f>'1) Feuille d''encodage'!G91*'Tableau des prix et fréquences'!N71+('1) Feuille d''encodage'!G92-'1) Feuille d''encodage'!G91)*'Tableau des prix et fréquences'!N58+(1-'1) Feuille d''encodage'!G92)*'Tableau des prix et fréquences'!G58</f>
        <v>2.5529999999999999</v>
      </c>
      <c r="E52" s="89" t="s">
        <v>268</v>
      </c>
      <c r="F52" s="141">
        <f>'1) Feuille d''encodage'!G92*'Tableau des prix et fréquences'!N71+('1) Feuille d''encodage'!G92-'1) Feuille d''encodage'!G91)*'Tableau des prix et fréquences'!N83+(1-'1) Feuille d''encodage'!G92)*'Tableau des prix et fréquences'!G83</f>
        <v>3.4060000000000001</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71CE5-B7A6-DF41-BA37-F079A614A265}">
  <dimension ref="A1:G176"/>
  <sheetViews>
    <sheetView workbookViewId="0">
      <selection activeCell="G139" sqref="G139"/>
    </sheetView>
  </sheetViews>
  <sheetFormatPr baseColWidth="10" defaultColWidth="11.6640625" defaultRowHeight="16" x14ac:dyDescent="0.2"/>
  <cols>
    <col min="1" max="1" width="55.1640625" customWidth="1"/>
    <col min="2" max="2" width="24.33203125" customWidth="1"/>
    <col min="3" max="3" width="5.5" customWidth="1"/>
    <col min="4" max="4" width="25.6640625" customWidth="1"/>
  </cols>
  <sheetData>
    <row r="1" spans="1:7" ht="33" x14ac:dyDescent="0.35">
      <c r="A1" s="151" t="s">
        <v>108</v>
      </c>
      <c r="B1" s="151"/>
      <c r="C1" s="151"/>
      <c r="D1" s="151"/>
    </row>
    <row r="3" spans="1:7" ht="158" customHeight="1" x14ac:dyDescent="0.2">
      <c r="A3" s="171" t="s">
        <v>399</v>
      </c>
      <c r="B3" s="171"/>
      <c r="C3" s="171"/>
      <c r="D3" s="171"/>
    </row>
    <row r="5" spans="1:7" x14ac:dyDescent="0.2">
      <c r="A5" s="172" t="s">
        <v>22</v>
      </c>
      <c r="B5" s="172"/>
      <c r="C5" s="172"/>
      <c r="D5" s="172"/>
    </row>
    <row r="7" spans="1:7" ht="28" x14ac:dyDescent="0.2">
      <c r="A7" s="11"/>
      <c r="B7" s="53" t="s">
        <v>109</v>
      </c>
      <c r="C7" s="54"/>
      <c r="D7" s="55" t="s">
        <v>110</v>
      </c>
      <c r="E7" s="56" t="s">
        <v>111</v>
      </c>
      <c r="F7" s="57"/>
      <c r="G7" s="58" t="s">
        <v>112</v>
      </c>
    </row>
    <row r="8" spans="1:7" x14ac:dyDescent="0.2">
      <c r="A8" s="170" t="s">
        <v>113</v>
      </c>
      <c r="B8" s="170"/>
      <c r="D8" s="59"/>
    </row>
    <row r="9" spans="1:7" ht="12.75" customHeight="1" x14ac:dyDescent="0.2">
      <c r="A9" s="11" t="s">
        <v>114</v>
      </c>
      <c r="B9" s="60">
        <v>6.79</v>
      </c>
      <c r="D9" s="57">
        <v>6.79</v>
      </c>
    </row>
    <row r="10" spans="1:7" x14ac:dyDescent="0.2">
      <c r="A10" s="11" t="s">
        <v>115</v>
      </c>
      <c r="B10" s="60">
        <v>7.73</v>
      </c>
      <c r="D10" s="57">
        <v>7.73</v>
      </c>
    </row>
    <row r="11" spans="1:7" x14ac:dyDescent="0.2">
      <c r="A11" s="11" t="s">
        <v>116</v>
      </c>
      <c r="B11" s="60">
        <v>13.89</v>
      </c>
      <c r="D11" s="57">
        <v>13.89</v>
      </c>
    </row>
    <row r="12" spans="1:7" x14ac:dyDescent="0.2">
      <c r="A12" s="11" t="s">
        <v>117</v>
      </c>
      <c r="B12" s="60">
        <v>6.4</v>
      </c>
      <c r="D12" s="57">
        <v>6.4</v>
      </c>
    </row>
    <row r="13" spans="1:7" x14ac:dyDescent="0.2">
      <c r="A13" s="11" t="s">
        <v>118</v>
      </c>
      <c r="B13" s="60">
        <v>8.01</v>
      </c>
      <c r="D13" s="57">
        <v>8.01</v>
      </c>
    </row>
    <row r="14" spans="1:7" x14ac:dyDescent="0.2">
      <c r="A14" s="11" t="s">
        <v>119</v>
      </c>
      <c r="B14" s="60">
        <v>7.83</v>
      </c>
      <c r="D14" s="57">
        <v>7.83</v>
      </c>
    </row>
    <row r="15" spans="1:7" x14ac:dyDescent="0.2">
      <c r="A15" s="11" t="s">
        <v>120</v>
      </c>
      <c r="B15" s="60">
        <v>6.29</v>
      </c>
      <c r="D15" s="57">
        <v>6.29</v>
      </c>
    </row>
    <row r="16" spans="1:7" x14ac:dyDescent="0.2">
      <c r="A16" s="11" t="s">
        <v>121</v>
      </c>
      <c r="B16" s="60">
        <v>12.75</v>
      </c>
      <c r="D16" s="57">
        <v>12.75</v>
      </c>
    </row>
    <row r="17" spans="1:6" x14ac:dyDescent="0.2">
      <c r="A17" s="11" t="s">
        <v>122</v>
      </c>
      <c r="B17" s="60">
        <v>8.76</v>
      </c>
      <c r="D17" s="57">
        <v>8.76</v>
      </c>
    </row>
    <row r="18" spans="1:6" x14ac:dyDescent="0.2">
      <c r="A18" s="11" t="s">
        <v>123</v>
      </c>
      <c r="B18" s="60">
        <v>12.17</v>
      </c>
      <c r="D18" s="57">
        <v>12.17</v>
      </c>
    </row>
    <row r="19" spans="1:6" x14ac:dyDescent="0.2">
      <c r="A19" s="11" t="s">
        <v>124</v>
      </c>
      <c r="B19" s="60">
        <v>5.58</v>
      </c>
      <c r="D19" s="57">
        <v>5.58</v>
      </c>
    </row>
    <row r="20" spans="1:6" x14ac:dyDescent="0.2">
      <c r="A20" s="11" t="s">
        <v>125</v>
      </c>
      <c r="B20" s="60">
        <v>5.72</v>
      </c>
      <c r="D20" s="57">
        <v>5.72</v>
      </c>
    </row>
    <row r="21" spans="1:6" ht="12.5" customHeight="1" x14ac:dyDescent="0.2">
      <c r="A21" s="11" t="s">
        <v>126</v>
      </c>
      <c r="B21" s="60">
        <v>6.07</v>
      </c>
      <c r="D21" s="57">
        <v>6.07</v>
      </c>
    </row>
    <row r="22" spans="1:6" x14ac:dyDescent="0.2">
      <c r="A22" s="170" t="s">
        <v>127</v>
      </c>
      <c r="B22" s="170"/>
      <c r="D22" s="61"/>
      <c r="F22" s="30"/>
    </row>
    <row r="23" spans="1:6" x14ac:dyDescent="0.2">
      <c r="A23" s="11" t="s">
        <v>128</v>
      </c>
      <c r="B23" s="62">
        <v>10.64</v>
      </c>
      <c r="D23" s="63">
        <v>10.64</v>
      </c>
    </row>
    <row r="24" spans="1:6" x14ac:dyDescent="0.2">
      <c r="A24" s="11" t="s">
        <v>129</v>
      </c>
      <c r="B24" s="62">
        <v>4.9400000000000004</v>
      </c>
      <c r="D24" s="63">
        <v>4.9400000000000004</v>
      </c>
    </row>
    <row r="25" spans="1:6" x14ac:dyDescent="0.2">
      <c r="A25" s="11" t="s">
        <v>130</v>
      </c>
      <c r="B25" s="62">
        <v>13.14</v>
      </c>
      <c r="D25" s="63">
        <v>13.14</v>
      </c>
    </row>
    <row r="26" spans="1:6" x14ac:dyDescent="0.2">
      <c r="A26" s="11" t="s">
        <v>131</v>
      </c>
      <c r="B26" s="62">
        <v>10.06</v>
      </c>
      <c r="D26" s="63">
        <v>10.06</v>
      </c>
    </row>
    <row r="27" spans="1:6" x14ac:dyDescent="0.2">
      <c r="A27" s="170" t="s">
        <v>132</v>
      </c>
      <c r="B27" s="170"/>
      <c r="D27" s="61"/>
    </row>
    <row r="28" spans="1:6" x14ac:dyDescent="0.2">
      <c r="A28" s="11" t="s">
        <v>133</v>
      </c>
      <c r="B28" s="60">
        <v>5.2</v>
      </c>
      <c r="D28" s="57">
        <v>5.2</v>
      </c>
    </row>
    <row r="29" spans="1:6" x14ac:dyDescent="0.2">
      <c r="A29" s="11" t="s">
        <v>134</v>
      </c>
      <c r="B29" s="60">
        <v>1.5</v>
      </c>
      <c r="D29" s="57">
        <v>1.5</v>
      </c>
    </row>
    <row r="30" spans="1:6" x14ac:dyDescent="0.2">
      <c r="A30" s="11" t="s">
        <v>135</v>
      </c>
      <c r="B30" s="60">
        <v>8.8000000000000007</v>
      </c>
      <c r="D30" s="57">
        <v>8.8000000000000007</v>
      </c>
    </row>
    <row r="31" spans="1:6" x14ac:dyDescent="0.2">
      <c r="A31" s="11" t="s">
        <v>136</v>
      </c>
      <c r="B31" s="64">
        <v>4.5</v>
      </c>
      <c r="D31" s="65">
        <v>4.5</v>
      </c>
    </row>
    <row r="33" spans="1:7" x14ac:dyDescent="0.2">
      <c r="A33" s="173" t="s">
        <v>137</v>
      </c>
      <c r="B33" s="173"/>
      <c r="C33" s="173"/>
      <c r="D33" s="173"/>
    </row>
    <row r="35" spans="1:7" ht="28" x14ac:dyDescent="0.2">
      <c r="A35" s="11"/>
      <c r="B35" s="53" t="s">
        <v>109</v>
      </c>
      <c r="C35" s="66"/>
      <c r="D35" s="55" t="s">
        <v>110</v>
      </c>
      <c r="E35" s="56" t="s">
        <v>111</v>
      </c>
      <c r="F35" s="57"/>
      <c r="G35" s="58" t="s">
        <v>112</v>
      </c>
    </row>
    <row r="36" spans="1:7" x14ac:dyDescent="0.2">
      <c r="A36" s="170" t="s">
        <v>138</v>
      </c>
      <c r="B36" s="170"/>
      <c r="D36" s="67"/>
    </row>
    <row r="37" spans="1:7" x14ac:dyDescent="0.2">
      <c r="A37" s="11" t="s">
        <v>139</v>
      </c>
      <c r="B37" s="64">
        <v>2.0099999999999998</v>
      </c>
      <c r="D37" s="65">
        <v>2.0099999999999998</v>
      </c>
    </row>
    <row r="38" spans="1:7" x14ac:dyDescent="0.2">
      <c r="A38" s="11" t="s">
        <v>140</v>
      </c>
      <c r="B38" s="64">
        <v>0.84</v>
      </c>
      <c r="D38" s="65">
        <v>0.84</v>
      </c>
    </row>
    <row r="39" spans="1:7" x14ac:dyDescent="0.2">
      <c r="A39" s="11" t="s">
        <v>141</v>
      </c>
      <c r="B39" s="64">
        <v>0.9</v>
      </c>
      <c r="D39" s="65">
        <v>0.9</v>
      </c>
    </row>
    <row r="40" spans="1:7" x14ac:dyDescent="0.2">
      <c r="A40" s="11" t="s">
        <v>142</v>
      </c>
      <c r="B40" s="64">
        <v>2.39</v>
      </c>
      <c r="D40" s="65">
        <v>2.39</v>
      </c>
    </row>
    <row r="41" spans="1:7" x14ac:dyDescent="0.2">
      <c r="A41" s="11" t="s">
        <v>143</v>
      </c>
      <c r="B41" s="64">
        <v>1.53</v>
      </c>
      <c r="D41" s="65">
        <v>1.53</v>
      </c>
    </row>
    <row r="42" spans="1:7" x14ac:dyDescent="0.2">
      <c r="A42" s="11" t="s">
        <v>144</v>
      </c>
      <c r="B42" s="64">
        <v>1.1499999999999999</v>
      </c>
      <c r="D42" s="65">
        <v>1.1499999999999999</v>
      </c>
    </row>
    <row r="43" spans="1:7" x14ac:dyDescent="0.2">
      <c r="A43" s="11" t="s">
        <v>145</v>
      </c>
      <c r="B43" s="64">
        <v>1.29</v>
      </c>
      <c r="D43" s="65">
        <v>1.29</v>
      </c>
    </row>
    <row r="44" spans="1:7" x14ac:dyDescent="0.2">
      <c r="A44" s="11" t="s">
        <v>146</v>
      </c>
      <c r="B44" s="64">
        <v>1.96</v>
      </c>
      <c r="D44" s="65">
        <v>1.96</v>
      </c>
    </row>
    <row r="45" spans="1:7" x14ac:dyDescent="0.2">
      <c r="A45" s="11" t="s">
        <v>147</v>
      </c>
      <c r="B45" s="64">
        <v>1.43</v>
      </c>
      <c r="D45" s="65">
        <v>1.43</v>
      </c>
    </row>
    <row r="46" spans="1:7" x14ac:dyDescent="0.2">
      <c r="A46" s="11" t="s">
        <v>148</v>
      </c>
      <c r="B46" s="64">
        <v>1.56</v>
      </c>
      <c r="D46" s="65">
        <v>1.56</v>
      </c>
    </row>
    <row r="47" spans="1:7" x14ac:dyDescent="0.2">
      <c r="A47" s="68" t="s">
        <v>149</v>
      </c>
      <c r="B47" s="69"/>
      <c r="D47" s="65"/>
    </row>
    <row r="48" spans="1:7" x14ac:dyDescent="0.2">
      <c r="A48" s="68" t="s">
        <v>150</v>
      </c>
      <c r="B48" s="69"/>
      <c r="D48" s="65"/>
    </row>
    <row r="49" spans="1:4" x14ac:dyDescent="0.2">
      <c r="A49" s="68" t="s">
        <v>151</v>
      </c>
      <c r="B49" s="69"/>
      <c r="D49" s="65"/>
    </row>
    <row r="50" spans="1:4" x14ac:dyDescent="0.2">
      <c r="A50" s="68" t="s">
        <v>152</v>
      </c>
      <c r="B50" s="69"/>
      <c r="D50" s="65"/>
    </row>
    <row r="51" spans="1:4" x14ac:dyDescent="0.2">
      <c r="A51" s="68" t="s">
        <v>153</v>
      </c>
      <c r="B51" s="69"/>
      <c r="D51" s="65"/>
    </row>
    <row r="52" spans="1:4" x14ac:dyDescent="0.2">
      <c r="A52" s="170" t="s">
        <v>154</v>
      </c>
      <c r="B52" s="170"/>
      <c r="D52" s="70"/>
    </row>
    <row r="53" spans="1:4" x14ac:dyDescent="0.2">
      <c r="A53" s="11" t="s">
        <v>155</v>
      </c>
      <c r="B53" s="64">
        <v>3.41</v>
      </c>
      <c r="D53" s="65">
        <v>3.41</v>
      </c>
    </row>
    <row r="54" spans="1:4" x14ac:dyDescent="0.2">
      <c r="A54" s="11" t="s">
        <v>156</v>
      </c>
      <c r="B54" s="64">
        <v>1.85</v>
      </c>
      <c r="D54" s="65">
        <v>1.85</v>
      </c>
    </row>
    <row r="55" spans="1:4" x14ac:dyDescent="0.2">
      <c r="A55" s="11" t="s">
        <v>157</v>
      </c>
      <c r="B55" s="64">
        <v>1.77</v>
      </c>
      <c r="D55" s="65">
        <v>1.77</v>
      </c>
    </row>
    <row r="56" spans="1:4" x14ac:dyDescent="0.2">
      <c r="A56" s="11" t="s">
        <v>158</v>
      </c>
      <c r="B56" s="64">
        <v>2.72</v>
      </c>
      <c r="D56" s="65">
        <v>2.72</v>
      </c>
    </row>
    <row r="57" spans="1:4" x14ac:dyDescent="0.2">
      <c r="A57" s="11" t="s">
        <v>159</v>
      </c>
      <c r="B57" s="64">
        <v>2.2799999999999998</v>
      </c>
      <c r="D57" s="65">
        <v>2.2799999999999998</v>
      </c>
    </row>
    <row r="58" spans="1:4" x14ac:dyDescent="0.2">
      <c r="A58" s="11" t="s">
        <v>160</v>
      </c>
      <c r="B58" s="64">
        <v>2.56</v>
      </c>
      <c r="D58" s="65">
        <v>2.56</v>
      </c>
    </row>
    <row r="59" spans="1:4" x14ac:dyDescent="0.2">
      <c r="A59" s="11" t="s">
        <v>161</v>
      </c>
      <c r="B59" s="64">
        <v>2.97</v>
      </c>
      <c r="D59" s="65">
        <v>2.97</v>
      </c>
    </row>
    <row r="60" spans="1:4" x14ac:dyDescent="0.2">
      <c r="A60" s="11" t="s">
        <v>162</v>
      </c>
      <c r="B60" s="64">
        <v>2.5499999999999998</v>
      </c>
      <c r="D60" s="65">
        <v>2.5499999999999998</v>
      </c>
    </row>
    <row r="61" spans="1:4" x14ac:dyDescent="0.2">
      <c r="A61" s="11" t="s">
        <v>163</v>
      </c>
      <c r="B61" s="64">
        <v>3.92</v>
      </c>
      <c r="D61" s="65">
        <v>3.92</v>
      </c>
    </row>
    <row r="62" spans="1:4" x14ac:dyDescent="0.2">
      <c r="A62" s="11" t="s">
        <v>164</v>
      </c>
      <c r="B62" s="64">
        <v>2.27</v>
      </c>
      <c r="D62" s="65">
        <v>2.27</v>
      </c>
    </row>
    <row r="63" spans="1:4" x14ac:dyDescent="0.2">
      <c r="A63" s="68" t="s">
        <v>165</v>
      </c>
      <c r="B63" s="69"/>
      <c r="D63" s="65"/>
    </row>
    <row r="64" spans="1:4" x14ac:dyDescent="0.2">
      <c r="A64" s="68" t="s">
        <v>150</v>
      </c>
      <c r="B64" s="69"/>
      <c r="D64" s="65"/>
    </row>
    <row r="65" spans="1:4" x14ac:dyDescent="0.2">
      <c r="A65" s="68" t="s">
        <v>151</v>
      </c>
      <c r="B65" s="69"/>
      <c r="D65" s="65"/>
    </row>
    <row r="66" spans="1:4" x14ac:dyDescent="0.2">
      <c r="A66" s="68" t="s">
        <v>152</v>
      </c>
      <c r="B66" s="69"/>
      <c r="D66" s="65"/>
    </row>
    <row r="67" spans="1:4" x14ac:dyDescent="0.2">
      <c r="A67" s="68" t="s">
        <v>153</v>
      </c>
      <c r="B67" s="69"/>
      <c r="D67" s="65"/>
    </row>
    <row r="68" spans="1:4" x14ac:dyDescent="0.2">
      <c r="A68" s="170" t="s">
        <v>166</v>
      </c>
      <c r="B68" s="170"/>
      <c r="D68" s="67"/>
    </row>
    <row r="69" spans="1:4" x14ac:dyDescent="0.2">
      <c r="A69" s="11" t="s">
        <v>167</v>
      </c>
      <c r="B69" s="60">
        <v>2.4500000000000002</v>
      </c>
      <c r="D69" s="57">
        <v>2.4500000000000002</v>
      </c>
    </row>
    <row r="70" spans="1:4" x14ac:dyDescent="0.2">
      <c r="A70" s="11" t="s">
        <v>168</v>
      </c>
      <c r="B70" s="60">
        <v>1.19</v>
      </c>
      <c r="D70" s="57">
        <v>1.19</v>
      </c>
    </row>
    <row r="71" spans="1:4" x14ac:dyDescent="0.2">
      <c r="A71" s="11" t="s">
        <v>169</v>
      </c>
      <c r="B71" s="60">
        <v>1.58</v>
      </c>
      <c r="D71" s="57">
        <v>1.58</v>
      </c>
    </row>
    <row r="72" spans="1:4" x14ac:dyDescent="0.2">
      <c r="A72" s="11" t="s">
        <v>170</v>
      </c>
      <c r="B72" s="60">
        <v>5.2</v>
      </c>
      <c r="D72" s="57">
        <v>5.2</v>
      </c>
    </row>
    <row r="73" spans="1:4" x14ac:dyDescent="0.2">
      <c r="A73" s="11" t="s">
        <v>143</v>
      </c>
      <c r="B73" s="60">
        <v>1.55</v>
      </c>
      <c r="D73" s="57">
        <v>1.55</v>
      </c>
    </row>
    <row r="74" spans="1:4" x14ac:dyDescent="0.2">
      <c r="A74" s="11" t="s">
        <v>171</v>
      </c>
      <c r="B74" s="60">
        <v>1.1000000000000001</v>
      </c>
      <c r="D74" s="57">
        <v>1.1000000000000001</v>
      </c>
    </row>
    <row r="75" spans="1:4" x14ac:dyDescent="0.2">
      <c r="A75" s="11" t="s">
        <v>172</v>
      </c>
      <c r="B75" s="60">
        <v>2.2999999999999998</v>
      </c>
      <c r="D75" s="57">
        <v>2.2999999999999998</v>
      </c>
    </row>
    <row r="76" spans="1:4" x14ac:dyDescent="0.2">
      <c r="A76" s="11" t="s">
        <v>173</v>
      </c>
      <c r="B76" s="60">
        <v>3.43</v>
      </c>
      <c r="D76" s="57">
        <v>3.43</v>
      </c>
    </row>
    <row r="77" spans="1:4" x14ac:dyDescent="0.2">
      <c r="A77" s="11" t="s">
        <v>174</v>
      </c>
      <c r="B77" s="60">
        <v>0.46</v>
      </c>
      <c r="D77" s="57">
        <v>0.46</v>
      </c>
    </row>
    <row r="78" spans="1:4" x14ac:dyDescent="0.2">
      <c r="A78" s="11" t="s">
        <v>175</v>
      </c>
      <c r="B78" s="60">
        <v>3.5</v>
      </c>
      <c r="D78" s="57">
        <v>3.5</v>
      </c>
    </row>
    <row r="79" spans="1:4" x14ac:dyDescent="0.2">
      <c r="A79" s="170" t="s">
        <v>176</v>
      </c>
      <c r="B79" s="170"/>
      <c r="D79" s="67"/>
    </row>
    <row r="80" spans="1:4" x14ac:dyDescent="0.2">
      <c r="A80" s="11" t="s">
        <v>177</v>
      </c>
      <c r="B80" s="64">
        <v>3.51</v>
      </c>
      <c r="D80" s="65">
        <v>3.51</v>
      </c>
    </row>
    <row r="81" spans="1:4" x14ac:dyDescent="0.2">
      <c r="A81" s="11" t="s">
        <v>178</v>
      </c>
      <c r="B81" s="64">
        <v>1.56</v>
      </c>
      <c r="D81" s="65">
        <v>1.56</v>
      </c>
    </row>
    <row r="82" spans="1:4" x14ac:dyDescent="0.2">
      <c r="A82" s="11" t="s">
        <v>179</v>
      </c>
      <c r="B82" s="64">
        <v>1.91</v>
      </c>
      <c r="D82" s="65">
        <v>1.91</v>
      </c>
    </row>
    <row r="83" spans="1:4" x14ac:dyDescent="0.2">
      <c r="A83" s="11" t="s">
        <v>180</v>
      </c>
      <c r="B83" s="64">
        <v>8.84</v>
      </c>
      <c r="D83" s="65">
        <v>8.84</v>
      </c>
    </row>
    <row r="84" spans="1:4" x14ac:dyDescent="0.2">
      <c r="A84" s="11" t="s">
        <v>159</v>
      </c>
      <c r="B84" s="64">
        <v>2.1800000000000002</v>
      </c>
      <c r="D84" s="65">
        <v>2.1800000000000002</v>
      </c>
    </row>
    <row r="85" spans="1:4" x14ac:dyDescent="0.2">
      <c r="A85" s="11" t="s">
        <v>181</v>
      </c>
      <c r="B85" s="64">
        <v>1.77</v>
      </c>
      <c r="D85" s="65">
        <v>1.77</v>
      </c>
    </row>
    <row r="86" spans="1:4" x14ac:dyDescent="0.2">
      <c r="A86" s="11" t="s">
        <v>161</v>
      </c>
      <c r="B86" s="64">
        <v>3.7</v>
      </c>
      <c r="D86" s="65">
        <v>3.7</v>
      </c>
    </row>
    <row r="87" spans="1:4" x14ac:dyDescent="0.2">
      <c r="A87" s="11" t="s">
        <v>182</v>
      </c>
      <c r="B87" s="64">
        <v>4.8099999999999996</v>
      </c>
      <c r="D87" s="65">
        <v>4.8099999999999996</v>
      </c>
    </row>
    <row r="88" spans="1:4" x14ac:dyDescent="0.2">
      <c r="A88" s="11" t="s">
        <v>183</v>
      </c>
      <c r="B88" s="64">
        <v>1.87</v>
      </c>
      <c r="D88" s="65">
        <v>1.87</v>
      </c>
    </row>
    <row r="89" spans="1:4" x14ac:dyDescent="0.2">
      <c r="A89" s="11" t="s">
        <v>184</v>
      </c>
      <c r="B89" s="64">
        <v>3.91</v>
      </c>
      <c r="D89" s="65">
        <v>3.91</v>
      </c>
    </row>
    <row r="90" spans="1:4" x14ac:dyDescent="0.2">
      <c r="A90" s="170" t="s">
        <v>185</v>
      </c>
      <c r="B90" s="170"/>
      <c r="D90" s="67"/>
    </row>
    <row r="91" spans="1:4" x14ac:dyDescent="0.2">
      <c r="A91" s="71" t="s">
        <v>186</v>
      </c>
      <c r="B91" s="72">
        <v>5.2</v>
      </c>
      <c r="D91" s="73">
        <v>5.2</v>
      </c>
    </row>
    <row r="92" spans="1:4" x14ac:dyDescent="0.2">
      <c r="A92" s="71" t="s">
        <v>140</v>
      </c>
      <c r="B92" s="72">
        <v>1.59</v>
      </c>
      <c r="D92" s="73">
        <v>1.59</v>
      </c>
    </row>
    <row r="93" spans="1:4" x14ac:dyDescent="0.2">
      <c r="A93" s="71" t="s">
        <v>187</v>
      </c>
      <c r="B93" s="72">
        <v>2.96</v>
      </c>
      <c r="D93" s="73">
        <v>2.96</v>
      </c>
    </row>
    <row r="94" spans="1:4" x14ac:dyDescent="0.2">
      <c r="A94" s="71" t="s">
        <v>188</v>
      </c>
      <c r="B94" s="72">
        <v>4.84</v>
      </c>
      <c r="D94" s="73">
        <v>4.84</v>
      </c>
    </row>
    <row r="95" spans="1:4" x14ac:dyDescent="0.2">
      <c r="A95" s="71" t="s">
        <v>189</v>
      </c>
      <c r="B95" s="72">
        <v>5.2</v>
      </c>
      <c r="D95" s="73">
        <v>5.2</v>
      </c>
    </row>
    <row r="96" spans="1:4" x14ac:dyDescent="0.2">
      <c r="A96" s="71" t="s">
        <v>190</v>
      </c>
      <c r="B96" s="72">
        <v>1.81</v>
      </c>
      <c r="D96" s="73">
        <v>1.81</v>
      </c>
    </row>
    <row r="97" spans="1:4" x14ac:dyDescent="0.2">
      <c r="A97" s="71" t="s">
        <v>191</v>
      </c>
      <c r="B97" s="72">
        <v>2.78</v>
      </c>
      <c r="D97" s="73">
        <v>2.78</v>
      </c>
    </row>
    <row r="98" spans="1:4" x14ac:dyDescent="0.2">
      <c r="A98" s="71" t="s">
        <v>192</v>
      </c>
      <c r="B98" s="72">
        <v>6.36</v>
      </c>
      <c r="D98" s="73">
        <v>6.36</v>
      </c>
    </row>
    <row r="99" spans="1:4" x14ac:dyDescent="0.2">
      <c r="A99" s="71" t="s">
        <v>148</v>
      </c>
      <c r="B99" s="72">
        <v>3.4</v>
      </c>
      <c r="D99" s="73">
        <v>3.4</v>
      </c>
    </row>
    <row r="100" spans="1:4" x14ac:dyDescent="0.2">
      <c r="A100" s="170" t="s">
        <v>193</v>
      </c>
      <c r="B100" s="170"/>
      <c r="D100" s="67"/>
    </row>
    <row r="101" spans="1:4" x14ac:dyDescent="0.2">
      <c r="A101" s="71" t="s">
        <v>194</v>
      </c>
      <c r="B101" s="74">
        <v>6.76</v>
      </c>
      <c r="D101" s="65">
        <v>6.76</v>
      </c>
    </row>
    <row r="102" spans="1:4" x14ac:dyDescent="0.2">
      <c r="A102" s="71" t="s">
        <v>195</v>
      </c>
      <c r="B102" s="74">
        <v>2.0699999999999998</v>
      </c>
      <c r="D102" s="65">
        <v>2.0699999999999998</v>
      </c>
    </row>
    <row r="103" spans="1:4" x14ac:dyDescent="0.2">
      <c r="A103" s="71" t="s">
        <v>196</v>
      </c>
      <c r="B103" s="74">
        <v>3.85</v>
      </c>
      <c r="D103" s="65">
        <v>3.85</v>
      </c>
    </row>
    <row r="104" spans="1:4" x14ac:dyDescent="0.2">
      <c r="A104" s="71" t="s">
        <v>197</v>
      </c>
      <c r="B104" s="74">
        <v>6.29</v>
      </c>
      <c r="D104" s="65">
        <v>6.29</v>
      </c>
    </row>
    <row r="105" spans="1:4" x14ac:dyDescent="0.2">
      <c r="A105" s="71" t="s">
        <v>198</v>
      </c>
      <c r="B105" s="74">
        <v>6.76</v>
      </c>
      <c r="D105" s="65">
        <v>6.76</v>
      </c>
    </row>
    <row r="106" spans="1:4" x14ac:dyDescent="0.2">
      <c r="A106" s="71" t="s">
        <v>199</v>
      </c>
      <c r="B106" s="74">
        <v>2.35</v>
      </c>
      <c r="D106" s="65">
        <v>2.35</v>
      </c>
    </row>
    <row r="107" spans="1:4" x14ac:dyDescent="0.2">
      <c r="A107" s="71" t="s">
        <v>200</v>
      </c>
      <c r="B107" s="74">
        <v>3.61</v>
      </c>
      <c r="D107" s="65">
        <v>3.61</v>
      </c>
    </row>
    <row r="108" spans="1:4" x14ac:dyDescent="0.2">
      <c r="A108" s="71" t="s">
        <v>201</v>
      </c>
      <c r="B108" s="74">
        <v>8.27</v>
      </c>
      <c r="D108" s="65">
        <v>8.27</v>
      </c>
    </row>
    <row r="109" spans="1:4" x14ac:dyDescent="0.2">
      <c r="A109" s="71" t="s">
        <v>164</v>
      </c>
      <c r="B109" s="74">
        <v>4.42</v>
      </c>
      <c r="D109" s="65">
        <v>4.42</v>
      </c>
    </row>
    <row r="111" spans="1:4" x14ac:dyDescent="0.2">
      <c r="A111" s="174" t="s">
        <v>25</v>
      </c>
      <c r="B111" s="174"/>
      <c r="C111" s="174"/>
      <c r="D111" s="174"/>
    </row>
    <row r="113" spans="1:7" ht="28" x14ac:dyDescent="0.2">
      <c r="A113" s="11"/>
      <c r="B113" s="53" t="s">
        <v>109</v>
      </c>
      <c r="C113" s="66"/>
      <c r="D113" s="55" t="s">
        <v>110</v>
      </c>
      <c r="E113" s="56" t="s">
        <v>111</v>
      </c>
      <c r="F113" s="57"/>
      <c r="G113" s="58" t="s">
        <v>112</v>
      </c>
    </row>
    <row r="114" spans="1:7" x14ac:dyDescent="0.2">
      <c r="A114" s="170" t="s">
        <v>202</v>
      </c>
      <c r="B114" s="170"/>
      <c r="D114" s="67"/>
    </row>
    <row r="115" spans="1:7" x14ac:dyDescent="0.2">
      <c r="A115" s="11" t="s">
        <v>203</v>
      </c>
      <c r="B115" s="64">
        <v>1.55</v>
      </c>
      <c r="D115" s="65">
        <v>1.55</v>
      </c>
    </row>
    <row r="116" spans="1:7" x14ac:dyDescent="0.2">
      <c r="A116" s="11" t="s">
        <v>204</v>
      </c>
      <c r="B116" s="64">
        <v>1.98</v>
      </c>
      <c r="D116" s="65">
        <v>1.98</v>
      </c>
    </row>
    <row r="117" spans="1:7" x14ac:dyDescent="0.2">
      <c r="A117" s="11" t="s">
        <v>205</v>
      </c>
      <c r="B117" s="64">
        <v>0.92</v>
      </c>
      <c r="D117" s="65">
        <v>0.92</v>
      </c>
    </row>
    <row r="118" spans="1:7" x14ac:dyDescent="0.2">
      <c r="A118" s="11" t="s">
        <v>206</v>
      </c>
      <c r="B118" s="64">
        <v>1.03</v>
      </c>
      <c r="D118" s="65">
        <v>1.03</v>
      </c>
    </row>
    <row r="119" spans="1:7" x14ac:dyDescent="0.2">
      <c r="A119" s="11" t="s">
        <v>207</v>
      </c>
      <c r="B119" s="64">
        <v>4.9400000000000004</v>
      </c>
      <c r="D119" s="65">
        <v>4.9400000000000004</v>
      </c>
    </row>
    <row r="120" spans="1:7" x14ac:dyDescent="0.2">
      <c r="A120" s="11" t="s">
        <v>208</v>
      </c>
      <c r="B120" s="64">
        <v>4.59</v>
      </c>
      <c r="D120" s="65">
        <v>4.59</v>
      </c>
    </row>
    <row r="121" spans="1:7" x14ac:dyDescent="0.2">
      <c r="A121" s="11" t="s">
        <v>209</v>
      </c>
      <c r="B121" s="64">
        <v>2.2999999999999998</v>
      </c>
      <c r="D121" s="65">
        <v>2.2999999999999998</v>
      </c>
    </row>
    <row r="122" spans="1:7" x14ac:dyDescent="0.2">
      <c r="A122" s="170" t="s">
        <v>210</v>
      </c>
      <c r="B122" s="170"/>
      <c r="D122" s="67"/>
    </row>
    <row r="123" spans="1:7" x14ac:dyDescent="0.2">
      <c r="A123" s="11" t="s">
        <v>211</v>
      </c>
      <c r="B123" s="64">
        <v>1.23</v>
      </c>
      <c r="D123" s="65">
        <v>1.23</v>
      </c>
    </row>
    <row r="124" spans="1:7" x14ac:dyDescent="0.2">
      <c r="A124" s="170" t="s">
        <v>212</v>
      </c>
      <c r="B124" s="170"/>
      <c r="D124" s="67"/>
    </row>
    <row r="125" spans="1:7" x14ac:dyDescent="0.2">
      <c r="A125" s="11" t="s">
        <v>213</v>
      </c>
      <c r="B125" s="60">
        <v>2.02</v>
      </c>
      <c r="D125" s="57">
        <v>2.02</v>
      </c>
    </row>
    <row r="126" spans="1:7" x14ac:dyDescent="0.2">
      <c r="A126" s="11" t="s">
        <v>214</v>
      </c>
      <c r="B126" s="60">
        <v>2.61</v>
      </c>
      <c r="D126" s="57">
        <v>2.61</v>
      </c>
    </row>
    <row r="127" spans="1:7" x14ac:dyDescent="0.2">
      <c r="A127" s="11" t="s">
        <v>215</v>
      </c>
      <c r="B127" s="60">
        <v>4.2</v>
      </c>
      <c r="D127" s="57">
        <v>4.2</v>
      </c>
    </row>
    <row r="128" spans="1:7" x14ac:dyDescent="0.2">
      <c r="A128" s="11" t="s">
        <v>216</v>
      </c>
      <c r="B128" s="60">
        <v>2.65</v>
      </c>
      <c r="D128" s="57">
        <v>2.65</v>
      </c>
    </row>
    <row r="129" spans="1:7" x14ac:dyDescent="0.2">
      <c r="A129" s="11" t="s">
        <v>217</v>
      </c>
      <c r="B129" s="60">
        <v>10.31</v>
      </c>
      <c r="D129" s="57">
        <v>10.31</v>
      </c>
    </row>
    <row r="130" spans="1:7" x14ac:dyDescent="0.2">
      <c r="A130" s="11" t="s">
        <v>218</v>
      </c>
      <c r="B130" s="60">
        <v>4.45</v>
      </c>
      <c r="D130" s="57">
        <v>4.45</v>
      </c>
    </row>
    <row r="131" spans="1:7" x14ac:dyDescent="0.2">
      <c r="A131" s="11" t="s">
        <v>219</v>
      </c>
      <c r="B131" s="60">
        <v>2.99</v>
      </c>
      <c r="D131" s="57">
        <v>2.99</v>
      </c>
    </row>
    <row r="132" spans="1:7" x14ac:dyDescent="0.2">
      <c r="A132" s="170" t="s">
        <v>220</v>
      </c>
      <c r="B132" s="170"/>
      <c r="D132" s="67"/>
    </row>
    <row r="133" spans="1:7" x14ac:dyDescent="0.2">
      <c r="A133" s="11" t="s">
        <v>221</v>
      </c>
      <c r="B133" s="64">
        <v>1.6</v>
      </c>
      <c r="D133" s="65">
        <v>1.6</v>
      </c>
    </row>
    <row r="135" spans="1:7" x14ac:dyDescent="0.2">
      <c r="A135" s="175" t="s">
        <v>35</v>
      </c>
      <c r="B135" s="175"/>
      <c r="C135" s="175"/>
      <c r="D135" s="175"/>
    </row>
    <row r="137" spans="1:7" ht="28" x14ac:dyDescent="0.2">
      <c r="A137" s="11"/>
      <c r="B137" s="53" t="s">
        <v>109</v>
      </c>
      <c r="C137" s="66"/>
      <c r="D137" s="55" t="s">
        <v>110</v>
      </c>
      <c r="E137" s="56" t="s">
        <v>111</v>
      </c>
      <c r="F137" s="57"/>
      <c r="G137" s="58" t="s">
        <v>112</v>
      </c>
    </row>
    <row r="138" spans="1:7" x14ac:dyDescent="0.2">
      <c r="A138" s="170" t="s">
        <v>222</v>
      </c>
      <c r="B138" s="170"/>
      <c r="D138" s="67"/>
    </row>
    <row r="139" spans="1:7" x14ac:dyDescent="0.2">
      <c r="A139" s="11" t="s">
        <v>223</v>
      </c>
      <c r="B139" s="60">
        <v>1.43</v>
      </c>
      <c r="D139" s="57">
        <v>1.43</v>
      </c>
    </row>
    <row r="140" spans="1:7" x14ac:dyDescent="0.2">
      <c r="A140" s="11" t="s">
        <v>224</v>
      </c>
      <c r="B140" s="60">
        <v>1.79</v>
      </c>
      <c r="D140" s="57">
        <v>1.79</v>
      </c>
    </row>
    <row r="141" spans="1:7" x14ac:dyDescent="0.2">
      <c r="A141" s="11" t="s">
        <v>225</v>
      </c>
      <c r="B141" s="60">
        <v>1.69</v>
      </c>
      <c r="D141" s="57">
        <v>0.77</v>
      </c>
    </row>
    <row r="142" spans="1:7" x14ac:dyDescent="0.2">
      <c r="A142" s="11" t="s">
        <v>226</v>
      </c>
      <c r="B142" s="60">
        <v>2.2999999999999998</v>
      </c>
      <c r="D142" s="57">
        <v>2.2999999999999998</v>
      </c>
    </row>
    <row r="143" spans="1:7" x14ac:dyDescent="0.2">
      <c r="A143" s="11" t="s">
        <v>227</v>
      </c>
      <c r="B143" s="60">
        <v>2.27</v>
      </c>
      <c r="D143" s="57">
        <v>2.27</v>
      </c>
    </row>
    <row r="144" spans="1:7" x14ac:dyDescent="0.2">
      <c r="A144" s="170" t="s">
        <v>228</v>
      </c>
      <c r="B144" s="170"/>
      <c r="D144" s="75"/>
    </row>
    <row r="145" spans="1:4" x14ac:dyDescent="0.2">
      <c r="A145" s="11" t="s">
        <v>223</v>
      </c>
      <c r="B145" s="60">
        <v>2.98</v>
      </c>
      <c r="D145" s="57">
        <v>2.98</v>
      </c>
    </row>
    <row r="146" spans="1:4" x14ac:dyDescent="0.2">
      <c r="A146" s="11" t="s">
        <v>224</v>
      </c>
      <c r="B146" s="60">
        <v>2.87</v>
      </c>
      <c r="D146" s="57">
        <v>2.87</v>
      </c>
    </row>
    <row r="147" spans="1:4" x14ac:dyDescent="0.2">
      <c r="A147" s="11" t="s">
        <v>225</v>
      </c>
      <c r="B147" s="60">
        <v>2</v>
      </c>
      <c r="D147" s="57">
        <v>2.11</v>
      </c>
    </row>
    <row r="148" spans="1:4" x14ac:dyDescent="0.2">
      <c r="A148" s="11" t="s">
        <v>226</v>
      </c>
      <c r="B148" s="60">
        <v>1.93</v>
      </c>
      <c r="D148" s="57">
        <v>1.93</v>
      </c>
    </row>
    <row r="149" spans="1:4" x14ac:dyDescent="0.2">
      <c r="A149" s="11" t="s">
        <v>227</v>
      </c>
      <c r="B149" s="60">
        <v>2.63</v>
      </c>
      <c r="D149" s="57">
        <v>2.63</v>
      </c>
    </row>
    <row r="150" spans="1:4" x14ac:dyDescent="0.2">
      <c r="A150" s="170" t="s">
        <v>229</v>
      </c>
      <c r="B150" s="170"/>
      <c r="D150" s="67"/>
    </row>
    <row r="151" spans="1:4" x14ac:dyDescent="0.2">
      <c r="A151" s="11" t="s">
        <v>230</v>
      </c>
      <c r="B151" s="60">
        <v>1.63</v>
      </c>
      <c r="D151" s="57">
        <v>1.63</v>
      </c>
    </row>
    <row r="152" spans="1:4" x14ac:dyDescent="0.2">
      <c r="A152" s="11" t="s">
        <v>231</v>
      </c>
      <c r="B152" s="60">
        <v>2.44</v>
      </c>
      <c r="D152" s="57">
        <v>2.44</v>
      </c>
    </row>
    <row r="153" spans="1:4" x14ac:dyDescent="0.2">
      <c r="A153" s="170" t="s">
        <v>232</v>
      </c>
      <c r="B153" s="170"/>
      <c r="D153" s="67"/>
    </row>
    <row r="154" spans="1:4" x14ac:dyDescent="0.2">
      <c r="A154" s="11" t="s">
        <v>233</v>
      </c>
      <c r="B154" s="76">
        <v>3.54</v>
      </c>
      <c r="D154" s="77">
        <v>3.54</v>
      </c>
    </row>
    <row r="155" spans="1:4" x14ac:dyDescent="0.2">
      <c r="A155" s="11" t="s">
        <v>234</v>
      </c>
      <c r="B155" s="76">
        <v>4.7699999999999996</v>
      </c>
      <c r="D155" s="77">
        <v>4.7699999999999996</v>
      </c>
    </row>
    <row r="156" spans="1:4" x14ac:dyDescent="0.2">
      <c r="A156" s="170" t="s">
        <v>235</v>
      </c>
      <c r="B156" s="170"/>
      <c r="D156" s="67"/>
    </row>
    <row r="157" spans="1:4" x14ac:dyDescent="0.2">
      <c r="A157" s="11" t="s">
        <v>236</v>
      </c>
      <c r="B157" s="60">
        <v>1.33</v>
      </c>
      <c r="D157" s="57">
        <v>1.33</v>
      </c>
    </row>
    <row r="158" spans="1:4" x14ac:dyDescent="0.2">
      <c r="A158" s="170" t="s">
        <v>237</v>
      </c>
      <c r="B158" s="170"/>
      <c r="D158" s="75"/>
    </row>
    <row r="159" spans="1:4" x14ac:dyDescent="0.2">
      <c r="A159" s="11" t="s">
        <v>238</v>
      </c>
      <c r="B159" s="60">
        <v>5.9</v>
      </c>
      <c r="D159" s="57">
        <v>5.9</v>
      </c>
    </row>
    <row r="160" spans="1:4" x14ac:dyDescent="0.2">
      <c r="A160" s="170" t="s">
        <v>239</v>
      </c>
      <c r="B160" s="170"/>
      <c r="D160" s="67"/>
    </row>
    <row r="161" spans="1:4" x14ac:dyDescent="0.2">
      <c r="A161" s="11" t="s">
        <v>240</v>
      </c>
      <c r="B161" s="60">
        <v>3.78</v>
      </c>
      <c r="D161" s="57">
        <v>3.78</v>
      </c>
    </row>
    <row r="162" spans="1:4" x14ac:dyDescent="0.2">
      <c r="A162" s="11" t="s">
        <v>241</v>
      </c>
      <c r="B162" s="60">
        <v>2.15</v>
      </c>
      <c r="D162" s="57">
        <v>2.15</v>
      </c>
    </row>
    <row r="163" spans="1:4" x14ac:dyDescent="0.2">
      <c r="A163" s="11" t="s">
        <v>242</v>
      </c>
      <c r="B163" s="60">
        <v>1.69</v>
      </c>
      <c r="D163" s="57">
        <v>1.69</v>
      </c>
    </row>
    <row r="164" spans="1:4" x14ac:dyDescent="0.2">
      <c r="A164" s="11" t="s">
        <v>243</v>
      </c>
      <c r="B164" s="60">
        <v>4.91</v>
      </c>
      <c r="D164" s="57">
        <v>4.91</v>
      </c>
    </row>
    <row r="165" spans="1:4" x14ac:dyDescent="0.2">
      <c r="A165" s="170" t="s">
        <v>244</v>
      </c>
      <c r="B165" s="170"/>
      <c r="D165" s="67"/>
    </row>
    <row r="166" spans="1:4" x14ac:dyDescent="0.2">
      <c r="A166" s="11" t="s">
        <v>245</v>
      </c>
      <c r="B166" s="78">
        <v>0.99</v>
      </c>
      <c r="D166" s="79">
        <v>0.99</v>
      </c>
    </row>
    <row r="167" spans="1:4" x14ac:dyDescent="0.2">
      <c r="A167" s="11" t="s">
        <v>246</v>
      </c>
      <c r="B167" s="78">
        <v>1.1100000000000001</v>
      </c>
      <c r="D167" s="79">
        <v>1.1100000000000001</v>
      </c>
    </row>
    <row r="168" spans="1:4" x14ac:dyDescent="0.2">
      <c r="A168" s="176" t="s">
        <v>247</v>
      </c>
      <c r="B168" s="176"/>
      <c r="D168" s="67"/>
    </row>
    <row r="169" spans="1:4" x14ac:dyDescent="0.2">
      <c r="A169" s="11" t="s">
        <v>248</v>
      </c>
      <c r="B169" s="78">
        <v>12.73</v>
      </c>
      <c r="D169" s="79">
        <v>12.73</v>
      </c>
    </row>
    <row r="170" spans="1:4" x14ac:dyDescent="0.2">
      <c r="A170" s="11" t="s">
        <v>249</v>
      </c>
      <c r="B170" s="78">
        <v>10.35</v>
      </c>
      <c r="D170" s="79">
        <v>10.35</v>
      </c>
    </row>
    <row r="171" spans="1:4" x14ac:dyDescent="0.2">
      <c r="A171" s="170" t="s">
        <v>250</v>
      </c>
      <c r="B171" s="170"/>
      <c r="D171" s="67"/>
    </row>
    <row r="172" spans="1:4" x14ac:dyDescent="0.2">
      <c r="A172" s="11" t="s">
        <v>251</v>
      </c>
      <c r="B172" s="78">
        <v>2.99</v>
      </c>
      <c r="D172" s="79">
        <v>2.99</v>
      </c>
    </row>
    <row r="173" spans="1:4" x14ac:dyDescent="0.2">
      <c r="A173" s="11" t="s">
        <v>252</v>
      </c>
      <c r="B173" s="78">
        <v>2.3199999999999998</v>
      </c>
      <c r="D173" s="79">
        <v>2.3199999999999998</v>
      </c>
    </row>
    <row r="175" spans="1:4" x14ac:dyDescent="0.2">
      <c r="A175" s="30"/>
    </row>
    <row r="176" spans="1:4" x14ac:dyDescent="0.2">
      <c r="A176" s="30"/>
    </row>
  </sheetData>
  <mergeCells count="29">
    <mergeCell ref="A158:B158"/>
    <mergeCell ref="A160:B160"/>
    <mergeCell ref="A165:B165"/>
    <mergeCell ref="A168:B168"/>
    <mergeCell ref="A171:B171"/>
    <mergeCell ref="A156:B156"/>
    <mergeCell ref="A100:B100"/>
    <mergeCell ref="A111:D111"/>
    <mergeCell ref="A114:B114"/>
    <mergeCell ref="A122:B122"/>
    <mergeCell ref="A124:B124"/>
    <mergeCell ref="A132:B132"/>
    <mergeCell ref="A135:D135"/>
    <mergeCell ref="A138:B138"/>
    <mergeCell ref="A144:B144"/>
    <mergeCell ref="A150:B150"/>
    <mergeCell ref="A153:B153"/>
    <mergeCell ref="A90:B90"/>
    <mergeCell ref="A1:D1"/>
    <mergeCell ref="A3:D3"/>
    <mergeCell ref="A5:D5"/>
    <mergeCell ref="A8:B8"/>
    <mergeCell ref="A22:B22"/>
    <mergeCell ref="A27:B27"/>
    <mergeCell ref="A33:D33"/>
    <mergeCell ref="A36:B36"/>
    <mergeCell ref="A52:B52"/>
    <mergeCell ref="A68:B68"/>
    <mergeCell ref="A79:B7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E6469-A414-A748-804E-C7EE67BE1429}">
  <dimension ref="A1:N139"/>
  <sheetViews>
    <sheetView zoomScale="101" workbookViewId="0">
      <selection activeCell="J134" sqref="J134:J135"/>
    </sheetView>
  </sheetViews>
  <sheetFormatPr baseColWidth="10" defaultColWidth="11.6640625" defaultRowHeight="16" x14ac:dyDescent="0.2"/>
  <cols>
    <col min="1" max="1" width="14.33203125" customWidth="1"/>
    <col min="2" max="2" width="45" customWidth="1"/>
    <col min="3" max="4" width="20.1640625" customWidth="1"/>
    <col min="5" max="5" width="12.6640625" customWidth="1"/>
    <col min="6" max="6" width="26.33203125" customWidth="1"/>
    <col min="8" max="8" width="24.83203125" customWidth="1"/>
    <col min="9" max="9" width="38.1640625" customWidth="1"/>
    <col min="11" max="11" width="20.5" customWidth="1"/>
    <col min="13" max="13" width="26.83203125" customWidth="1"/>
  </cols>
  <sheetData>
    <row r="1" spans="1:13" ht="33" x14ac:dyDescent="0.35">
      <c r="A1" s="151" t="s">
        <v>310</v>
      </c>
      <c r="B1" s="151"/>
      <c r="C1" s="151"/>
      <c r="D1" s="151"/>
      <c r="E1" s="151"/>
      <c r="F1" s="151"/>
      <c r="G1" s="151"/>
      <c r="H1" s="151"/>
      <c r="I1" s="151"/>
      <c r="J1" s="151"/>
      <c r="K1" s="151"/>
      <c r="L1" s="151"/>
      <c r="M1" s="151"/>
    </row>
    <row r="3" spans="1:13" ht="51.25" customHeight="1" x14ac:dyDescent="0.2">
      <c r="A3" s="178" t="s">
        <v>311</v>
      </c>
      <c r="B3" s="178"/>
      <c r="C3" s="178"/>
      <c r="D3" s="178"/>
      <c r="E3" s="178"/>
      <c r="F3" s="178"/>
    </row>
    <row r="5" spans="1:13" x14ac:dyDescent="0.2">
      <c r="A5" s="179" t="s">
        <v>22</v>
      </c>
      <c r="B5" s="179"/>
      <c r="C5" s="179"/>
      <c r="D5" s="179"/>
      <c r="E5" s="179"/>
      <c r="F5" s="179"/>
    </row>
    <row r="6" spans="1:13" ht="112" customHeight="1" x14ac:dyDescent="0.2">
      <c r="A6" s="180" t="s">
        <v>398</v>
      </c>
      <c r="B6" s="180"/>
      <c r="C6" s="180"/>
      <c r="D6" s="180"/>
      <c r="E6" s="180"/>
      <c r="F6" s="180"/>
    </row>
    <row r="7" spans="1:13" x14ac:dyDescent="0.2">
      <c r="A7" s="105"/>
    </row>
    <row r="8" spans="1:13" x14ac:dyDescent="0.2">
      <c r="A8" s="106"/>
      <c r="B8" s="107" t="s">
        <v>22</v>
      </c>
      <c r="C8" s="108" t="s">
        <v>312</v>
      </c>
      <c r="D8" s="108" t="s">
        <v>313</v>
      </c>
      <c r="E8" s="108" t="s">
        <v>314</v>
      </c>
      <c r="F8" s="108" t="s">
        <v>315</v>
      </c>
    </row>
    <row r="9" spans="1:13" ht="12.75" customHeight="1" x14ac:dyDescent="0.2">
      <c r="A9" s="181" t="s">
        <v>316</v>
      </c>
      <c r="B9" s="71" t="s">
        <v>114</v>
      </c>
      <c r="C9" s="110">
        <v>10.91</v>
      </c>
      <c r="D9" s="111">
        <v>1.3</v>
      </c>
      <c r="E9" s="112">
        <v>1</v>
      </c>
      <c r="F9" s="113">
        <f t="shared" ref="F9:F21" si="0">C9*D9*E9</f>
        <v>14.183</v>
      </c>
    </row>
    <row r="10" spans="1:13" x14ac:dyDescent="0.2">
      <c r="A10" s="181"/>
      <c r="B10" s="71" t="s">
        <v>115</v>
      </c>
      <c r="C10" s="110">
        <v>10.91</v>
      </c>
      <c r="D10" s="111">
        <v>1</v>
      </c>
      <c r="E10" s="112">
        <v>1</v>
      </c>
      <c r="F10" s="113">
        <f t="shared" si="0"/>
        <v>10.91</v>
      </c>
    </row>
    <row r="11" spans="1:13" x14ac:dyDescent="0.2">
      <c r="A11" s="181"/>
      <c r="B11" s="71" t="s">
        <v>116</v>
      </c>
      <c r="C11" s="110">
        <v>20.369</v>
      </c>
      <c r="D11" s="111">
        <v>1</v>
      </c>
      <c r="E11" s="112">
        <v>1</v>
      </c>
      <c r="F11" s="113">
        <f t="shared" si="0"/>
        <v>20.369</v>
      </c>
    </row>
    <row r="12" spans="1:13" ht="12.75" customHeight="1" x14ac:dyDescent="0.2">
      <c r="A12" s="181" t="s">
        <v>317</v>
      </c>
      <c r="B12" s="71" t="s">
        <v>117</v>
      </c>
      <c r="C12" s="110">
        <v>8.1289999999999996</v>
      </c>
      <c r="D12" s="111">
        <v>1</v>
      </c>
      <c r="E12" s="112">
        <v>1</v>
      </c>
      <c r="F12" s="113">
        <f t="shared" si="0"/>
        <v>8.1289999999999996</v>
      </c>
    </row>
    <row r="13" spans="1:13" x14ac:dyDescent="0.2">
      <c r="A13" s="181"/>
      <c r="B13" s="71" t="s">
        <v>118</v>
      </c>
      <c r="C13" s="110">
        <v>10.138</v>
      </c>
      <c r="D13" s="111">
        <v>1</v>
      </c>
      <c r="E13" s="112">
        <v>1</v>
      </c>
      <c r="F13" s="113">
        <f t="shared" si="0"/>
        <v>10.138</v>
      </c>
    </row>
    <row r="14" spans="1:13" x14ac:dyDescent="0.2">
      <c r="A14" s="181"/>
      <c r="B14" s="71" t="s">
        <v>119</v>
      </c>
      <c r="C14" s="110">
        <v>9.9169999999999998</v>
      </c>
      <c r="D14" s="111">
        <v>1</v>
      </c>
      <c r="E14" s="112">
        <v>1</v>
      </c>
      <c r="F14" s="113">
        <f t="shared" si="0"/>
        <v>9.9169999999999998</v>
      </c>
    </row>
    <row r="15" spans="1:13" ht="12.75" customHeight="1" x14ac:dyDescent="0.2">
      <c r="A15" s="181" t="s">
        <v>318</v>
      </c>
      <c r="B15" s="71" t="s">
        <v>120</v>
      </c>
      <c r="C15" s="110">
        <v>9.3160000000000007</v>
      </c>
      <c r="D15" s="111">
        <v>1</v>
      </c>
      <c r="E15" s="112">
        <v>1</v>
      </c>
      <c r="F15" s="113">
        <f t="shared" si="0"/>
        <v>9.3160000000000007</v>
      </c>
    </row>
    <row r="16" spans="1:13" x14ac:dyDescent="0.2">
      <c r="A16" s="181"/>
      <c r="B16" s="71" t="s">
        <v>121</v>
      </c>
      <c r="C16" s="110">
        <v>12.692</v>
      </c>
      <c r="D16" s="111">
        <v>1</v>
      </c>
      <c r="E16" s="112">
        <v>1</v>
      </c>
      <c r="F16" s="113">
        <f t="shared" si="0"/>
        <v>12.692</v>
      </c>
    </row>
    <row r="17" spans="1:9" x14ac:dyDescent="0.2">
      <c r="A17" s="181"/>
      <c r="B17" s="71" t="s">
        <v>122</v>
      </c>
      <c r="C17" s="110">
        <v>21.07</v>
      </c>
      <c r="D17" s="111">
        <v>1.3</v>
      </c>
      <c r="E17" s="112">
        <v>1</v>
      </c>
      <c r="F17" s="113">
        <f t="shared" si="0"/>
        <v>27.391000000000002</v>
      </c>
    </row>
    <row r="18" spans="1:9" x14ac:dyDescent="0.2">
      <c r="A18" s="181"/>
      <c r="B18" s="71" t="s">
        <v>123</v>
      </c>
      <c r="C18" s="110">
        <v>21.7</v>
      </c>
      <c r="D18" s="111">
        <v>1</v>
      </c>
      <c r="E18" s="112">
        <v>1</v>
      </c>
      <c r="F18" s="113">
        <f t="shared" si="0"/>
        <v>21.7</v>
      </c>
    </row>
    <row r="19" spans="1:9" ht="12.75" customHeight="1" x14ac:dyDescent="0.2">
      <c r="A19" s="181" t="s">
        <v>319</v>
      </c>
      <c r="B19" s="71" t="s">
        <v>124</v>
      </c>
      <c r="C19" s="110">
        <v>11.423</v>
      </c>
      <c r="D19" s="111">
        <v>1</v>
      </c>
      <c r="E19" s="112">
        <v>1</v>
      </c>
      <c r="F19" s="113">
        <f t="shared" si="0"/>
        <v>11.423</v>
      </c>
    </row>
    <row r="20" spans="1:9" x14ac:dyDescent="0.2">
      <c r="A20" s="181"/>
      <c r="B20" s="71" t="s">
        <v>125</v>
      </c>
      <c r="C20" s="110">
        <v>7.89</v>
      </c>
      <c r="D20" s="111">
        <v>1</v>
      </c>
      <c r="E20" s="112">
        <v>1</v>
      </c>
      <c r="F20" s="113">
        <f t="shared" si="0"/>
        <v>7.89</v>
      </c>
    </row>
    <row r="21" spans="1:9" x14ac:dyDescent="0.2">
      <c r="A21" s="181"/>
      <c r="B21" s="71" t="s">
        <v>126</v>
      </c>
      <c r="C21" s="110">
        <v>10.778</v>
      </c>
      <c r="D21" s="111">
        <v>1</v>
      </c>
      <c r="E21" s="112">
        <v>1</v>
      </c>
      <c r="F21" s="113">
        <f t="shared" si="0"/>
        <v>10.778</v>
      </c>
    </row>
    <row r="22" spans="1:9" x14ac:dyDescent="0.2">
      <c r="A22" s="109"/>
      <c r="B22" s="71"/>
      <c r="C22" s="114"/>
      <c r="D22" s="71" t="s">
        <v>320</v>
      </c>
      <c r="E22" s="108">
        <f>SUM(E9:E21)</f>
        <v>13</v>
      </c>
      <c r="F22" s="115">
        <f>E22/20</f>
        <v>0.65</v>
      </c>
    </row>
    <row r="23" spans="1:9" x14ac:dyDescent="0.2">
      <c r="A23" s="109"/>
      <c r="B23" s="116" t="s">
        <v>321</v>
      </c>
      <c r="C23" s="182">
        <f>SUM(F9:F21)/E22</f>
        <v>13.448923076923077</v>
      </c>
      <c r="D23" s="182"/>
      <c r="E23" s="182"/>
      <c r="F23" s="182"/>
      <c r="G23">
        <v>9.26</v>
      </c>
      <c r="H23" s="143">
        <f>C23-G23</f>
        <v>4.1889230769230767</v>
      </c>
      <c r="I23" s="204">
        <v>0.6885</v>
      </c>
    </row>
    <row r="24" spans="1:9" x14ac:dyDescent="0.2">
      <c r="A24" s="183" t="s">
        <v>322</v>
      </c>
      <c r="B24" s="71" t="s">
        <v>128</v>
      </c>
      <c r="C24" s="110">
        <v>15.377000000000001</v>
      </c>
      <c r="D24" s="111">
        <v>1.2</v>
      </c>
      <c r="E24" s="112">
        <v>1</v>
      </c>
      <c r="F24" s="113">
        <f>C24*D24*E24</f>
        <v>18.452400000000001</v>
      </c>
    </row>
    <row r="25" spans="1:9" x14ac:dyDescent="0.2">
      <c r="A25" s="183"/>
      <c r="B25" s="71" t="s">
        <v>129</v>
      </c>
      <c r="C25" s="110">
        <v>7.1959999999999997</v>
      </c>
      <c r="D25" s="111">
        <v>1.2</v>
      </c>
      <c r="E25" s="112">
        <v>1</v>
      </c>
      <c r="F25" s="113">
        <f>C25*D25*E25</f>
        <v>8.6351999999999993</v>
      </c>
    </row>
    <row r="26" spans="1:9" x14ac:dyDescent="0.2">
      <c r="A26" s="183"/>
      <c r="B26" s="71" t="s">
        <v>130</v>
      </c>
      <c r="C26" s="110">
        <v>14.77</v>
      </c>
      <c r="D26" s="111">
        <v>1.2</v>
      </c>
      <c r="E26" s="112">
        <v>1</v>
      </c>
      <c r="F26" s="113">
        <f>C26*D26*E26</f>
        <v>17.724</v>
      </c>
    </row>
    <row r="27" spans="1:9" x14ac:dyDescent="0.2">
      <c r="A27" s="183"/>
      <c r="B27" s="71" t="s">
        <v>131</v>
      </c>
      <c r="C27" s="110">
        <v>9.5399999999999991</v>
      </c>
      <c r="D27" s="111">
        <v>1.2</v>
      </c>
      <c r="E27" s="112">
        <v>1</v>
      </c>
      <c r="F27" s="113">
        <f>C27*D27*E27</f>
        <v>11.447999999999999</v>
      </c>
    </row>
    <row r="28" spans="1:9" x14ac:dyDescent="0.2">
      <c r="A28" s="71"/>
      <c r="B28" s="71"/>
      <c r="C28" s="108"/>
      <c r="D28" s="71" t="s">
        <v>320</v>
      </c>
      <c r="E28" s="108">
        <f>SUM(E24:E27)</f>
        <v>4</v>
      </c>
      <c r="F28" s="115">
        <f>E28/20</f>
        <v>0.2</v>
      </c>
    </row>
    <row r="29" spans="1:9" x14ac:dyDescent="0.2">
      <c r="A29" s="71"/>
      <c r="B29" s="116" t="s">
        <v>323</v>
      </c>
      <c r="C29" s="184">
        <f>SUM(F24:F27)/E28</f>
        <v>14.0649</v>
      </c>
      <c r="D29" s="184"/>
      <c r="E29" s="184"/>
      <c r="F29" s="184"/>
      <c r="G29">
        <v>11.63</v>
      </c>
      <c r="H29" s="143">
        <f>C29-G29</f>
        <v>2.434899999999999</v>
      </c>
      <c r="I29" s="205"/>
    </row>
    <row r="30" spans="1:9" x14ac:dyDescent="0.2">
      <c r="A30" s="177" t="s">
        <v>324</v>
      </c>
      <c r="B30" s="71" t="s">
        <v>133</v>
      </c>
      <c r="C30" s="110">
        <v>7.8769999999999998</v>
      </c>
      <c r="D30" s="111">
        <v>1</v>
      </c>
      <c r="E30" s="112">
        <v>1</v>
      </c>
      <c r="F30" s="113">
        <f>C30*D30*E30</f>
        <v>7.8769999999999998</v>
      </c>
    </row>
    <row r="31" spans="1:9" x14ac:dyDescent="0.2">
      <c r="A31" s="177"/>
      <c r="B31" s="71" t="s">
        <v>134</v>
      </c>
      <c r="C31" s="110">
        <v>2.44</v>
      </c>
      <c r="D31" s="111">
        <v>1</v>
      </c>
      <c r="E31" s="112">
        <v>1</v>
      </c>
      <c r="F31" s="113">
        <f>C31*D31*E31</f>
        <v>2.44</v>
      </c>
    </row>
    <row r="32" spans="1:9" x14ac:dyDescent="0.2">
      <c r="A32" s="177"/>
      <c r="B32" s="71" t="s">
        <v>325</v>
      </c>
      <c r="C32" s="110">
        <v>11.997999999999999</v>
      </c>
      <c r="D32" s="111">
        <v>1</v>
      </c>
      <c r="E32" s="112">
        <v>0.5</v>
      </c>
      <c r="F32" s="113">
        <f>C32*D32*E32</f>
        <v>5.9989999999999997</v>
      </c>
    </row>
    <row r="33" spans="1:13" x14ac:dyDescent="0.2">
      <c r="A33" s="177"/>
      <c r="B33" s="71" t="s">
        <v>136</v>
      </c>
      <c r="C33" s="110">
        <v>4.29</v>
      </c>
      <c r="D33" s="111">
        <v>1</v>
      </c>
      <c r="E33" s="112">
        <v>0.5</v>
      </c>
      <c r="F33" s="113">
        <f>C33*D33*E33</f>
        <v>2.145</v>
      </c>
    </row>
    <row r="34" spans="1:13" x14ac:dyDescent="0.2">
      <c r="A34" s="71"/>
      <c r="B34" s="71"/>
      <c r="C34" s="118"/>
      <c r="D34" s="71" t="s">
        <v>320</v>
      </c>
      <c r="E34" s="108">
        <f>SUM(E30:E33)</f>
        <v>3</v>
      </c>
      <c r="F34" s="115">
        <f>E34/20</f>
        <v>0.15</v>
      </c>
    </row>
    <row r="35" spans="1:13" x14ac:dyDescent="0.2">
      <c r="A35" s="71"/>
      <c r="B35" s="116" t="s">
        <v>326</v>
      </c>
      <c r="C35" s="184">
        <f>SUM(F30:F33)/E34</f>
        <v>6.1536666666666662</v>
      </c>
      <c r="D35" s="184"/>
      <c r="E35" s="184"/>
      <c r="F35" s="184"/>
      <c r="G35">
        <v>4.45</v>
      </c>
    </row>
    <row r="36" spans="1:13" x14ac:dyDescent="0.2">
      <c r="A36" s="71"/>
      <c r="B36" s="71"/>
      <c r="C36" s="71"/>
      <c r="D36" s="106" t="s">
        <v>327</v>
      </c>
      <c r="E36" s="71"/>
      <c r="F36" s="119">
        <f>F22+F28+F34</f>
        <v>1</v>
      </c>
    </row>
    <row r="38" spans="1:13" x14ac:dyDescent="0.2">
      <c r="A38" s="185" t="s">
        <v>328</v>
      </c>
      <c r="B38" s="185"/>
      <c r="C38" s="185"/>
      <c r="D38" s="185"/>
      <c r="E38" s="185"/>
      <c r="F38" s="185"/>
      <c r="H38" s="185" t="s">
        <v>329</v>
      </c>
      <c r="I38" s="185"/>
      <c r="J38" s="185"/>
      <c r="K38" s="185"/>
      <c r="L38" s="185"/>
      <c r="M38" s="185"/>
    </row>
    <row r="39" spans="1:13" ht="49.25" customHeight="1" x14ac:dyDescent="0.2">
      <c r="A39" s="178" t="s">
        <v>330</v>
      </c>
      <c r="B39" s="178"/>
      <c r="C39" s="178"/>
      <c r="D39" s="178"/>
      <c r="E39" s="178"/>
      <c r="F39" s="178"/>
    </row>
    <row r="40" spans="1:13" x14ac:dyDescent="0.2">
      <c r="C40" s="7"/>
      <c r="D40" s="7"/>
      <c r="E40" s="7"/>
      <c r="F40" s="7"/>
    </row>
    <row r="41" spans="1:13" x14ac:dyDescent="0.2">
      <c r="A41" s="71"/>
      <c r="B41" s="120" t="s">
        <v>331</v>
      </c>
      <c r="C41" s="108" t="s">
        <v>312</v>
      </c>
      <c r="D41" s="108" t="s">
        <v>313</v>
      </c>
      <c r="E41" s="108" t="s">
        <v>314</v>
      </c>
      <c r="F41" s="108" t="s">
        <v>315</v>
      </c>
      <c r="H41" s="71"/>
      <c r="I41" s="120" t="s">
        <v>332</v>
      </c>
      <c r="J41" s="108" t="s">
        <v>312</v>
      </c>
      <c r="K41" s="108" t="s">
        <v>313</v>
      </c>
      <c r="L41" s="108" t="s">
        <v>314</v>
      </c>
      <c r="M41" s="108" t="s">
        <v>315</v>
      </c>
    </row>
    <row r="42" spans="1:13" x14ac:dyDescent="0.2">
      <c r="A42" s="71"/>
      <c r="B42" s="71" t="s">
        <v>139</v>
      </c>
      <c r="C42" s="206">
        <v>2.2090000000000001</v>
      </c>
      <c r="D42" s="112">
        <v>1.2</v>
      </c>
      <c r="E42" s="112">
        <v>1</v>
      </c>
      <c r="F42" s="117">
        <f t="shared" ref="F42:F51" si="1">C42*D42*E42</f>
        <v>2.6507999999999998</v>
      </c>
      <c r="H42" s="71"/>
      <c r="I42" s="71" t="s">
        <v>155</v>
      </c>
      <c r="J42" s="206">
        <v>5.2830000000000004</v>
      </c>
      <c r="K42" s="112">
        <v>1.2</v>
      </c>
      <c r="L42" s="112">
        <v>1</v>
      </c>
      <c r="M42" s="113">
        <f t="shared" ref="M42:M51" si="2">$J42*$K42*$L42</f>
        <v>6.3395999999999999</v>
      </c>
    </row>
    <row r="43" spans="1:13" x14ac:dyDescent="0.2">
      <c r="A43" s="71"/>
      <c r="B43" s="71" t="s">
        <v>140</v>
      </c>
      <c r="C43" s="206">
        <v>1.1739999999999999</v>
      </c>
      <c r="D43" s="112">
        <v>1.2</v>
      </c>
      <c r="E43" s="112">
        <v>1</v>
      </c>
      <c r="F43" s="117">
        <f t="shared" si="1"/>
        <v>1.4087999999999998</v>
      </c>
      <c r="H43" s="71"/>
      <c r="I43" s="71" t="s">
        <v>333</v>
      </c>
      <c r="J43" s="206">
        <v>1.9910000000000001</v>
      </c>
      <c r="K43" s="112">
        <v>1.2</v>
      </c>
      <c r="L43" s="112">
        <v>1</v>
      </c>
      <c r="M43" s="113">
        <f t="shared" si="2"/>
        <v>2.3892000000000002</v>
      </c>
    </row>
    <row r="44" spans="1:13" x14ac:dyDescent="0.2">
      <c r="A44" s="71"/>
      <c r="B44" s="71" t="s">
        <v>141</v>
      </c>
      <c r="C44" s="206">
        <v>1.222</v>
      </c>
      <c r="D44" s="112">
        <v>1.2</v>
      </c>
      <c r="E44" s="112">
        <v>1</v>
      </c>
      <c r="F44" s="117">
        <f t="shared" si="1"/>
        <v>1.4663999999999999</v>
      </c>
      <c r="H44" s="71"/>
      <c r="I44" s="71" t="s">
        <v>334</v>
      </c>
      <c r="J44" s="206">
        <v>2.4460000000000002</v>
      </c>
      <c r="K44" s="112">
        <v>1.2</v>
      </c>
      <c r="L44" s="112">
        <v>1</v>
      </c>
      <c r="M44" s="113">
        <f t="shared" si="2"/>
        <v>2.9352</v>
      </c>
    </row>
    <row r="45" spans="1:13" x14ac:dyDescent="0.2">
      <c r="A45" s="71"/>
      <c r="B45" s="71" t="s">
        <v>142</v>
      </c>
      <c r="C45" s="206">
        <v>2.4470000000000001</v>
      </c>
      <c r="D45" s="112">
        <v>1.2</v>
      </c>
      <c r="E45" s="112">
        <v>1</v>
      </c>
      <c r="F45" s="117">
        <f t="shared" si="1"/>
        <v>2.9363999999999999</v>
      </c>
      <c r="H45" s="71"/>
      <c r="I45" s="71" t="s">
        <v>158</v>
      </c>
      <c r="J45" s="206">
        <v>3.7559999999999998</v>
      </c>
      <c r="K45" s="112">
        <v>1.2</v>
      </c>
      <c r="L45" s="112">
        <v>1</v>
      </c>
      <c r="M45" s="113">
        <f t="shared" si="2"/>
        <v>4.5071999999999992</v>
      </c>
    </row>
    <row r="46" spans="1:13" x14ac:dyDescent="0.2">
      <c r="A46" s="71"/>
      <c r="B46" s="71" t="s">
        <v>143</v>
      </c>
      <c r="C46" s="206">
        <v>2.089</v>
      </c>
      <c r="D46" s="112">
        <v>1.2</v>
      </c>
      <c r="E46" s="112">
        <v>1</v>
      </c>
      <c r="F46" s="117">
        <f t="shared" si="1"/>
        <v>2.5067999999999997</v>
      </c>
      <c r="H46" s="71"/>
      <c r="I46" s="71" t="s">
        <v>159</v>
      </c>
      <c r="J46" s="206">
        <v>3.476</v>
      </c>
      <c r="K46" s="112">
        <v>1.2</v>
      </c>
      <c r="L46" s="112">
        <v>1</v>
      </c>
      <c r="M46" s="113">
        <f t="shared" si="2"/>
        <v>4.1711999999999998</v>
      </c>
    </row>
    <row r="47" spans="1:13" x14ac:dyDescent="0.2">
      <c r="A47" s="71"/>
      <c r="B47" s="71" t="s">
        <v>144</v>
      </c>
      <c r="C47" s="206">
        <v>2.444</v>
      </c>
      <c r="D47" s="112">
        <v>1.2</v>
      </c>
      <c r="E47" s="112">
        <v>1</v>
      </c>
      <c r="F47" s="117">
        <f t="shared" si="1"/>
        <v>2.9327999999999999</v>
      </c>
      <c r="H47" s="71"/>
      <c r="I47" s="71" t="s">
        <v>160</v>
      </c>
      <c r="J47" s="206">
        <v>3.43</v>
      </c>
      <c r="K47" s="112">
        <v>1.2</v>
      </c>
      <c r="L47" s="112">
        <v>1</v>
      </c>
      <c r="M47" s="113">
        <f t="shared" si="2"/>
        <v>4.1159999999999997</v>
      </c>
    </row>
    <row r="48" spans="1:13" x14ac:dyDescent="0.2">
      <c r="A48" s="71"/>
      <c r="B48" s="71" t="s">
        <v>145</v>
      </c>
      <c r="C48" s="206">
        <v>2.347</v>
      </c>
      <c r="D48" s="112">
        <v>1.2</v>
      </c>
      <c r="E48" s="112">
        <v>1</v>
      </c>
      <c r="F48" s="117">
        <f t="shared" si="1"/>
        <v>2.8163999999999998</v>
      </c>
      <c r="H48" s="71"/>
      <c r="I48" s="71" t="s">
        <v>161</v>
      </c>
      <c r="J48" s="206">
        <v>3.7749999999999999</v>
      </c>
      <c r="K48" s="112">
        <v>1.2</v>
      </c>
      <c r="L48" s="112">
        <v>1</v>
      </c>
      <c r="M48" s="113">
        <f t="shared" si="2"/>
        <v>4.5299999999999994</v>
      </c>
    </row>
    <row r="49" spans="1:14" x14ac:dyDescent="0.2">
      <c r="A49" s="71"/>
      <c r="B49" s="71" t="s">
        <v>146</v>
      </c>
      <c r="C49" s="206">
        <v>2.1989999999999998</v>
      </c>
      <c r="D49" s="112">
        <v>1.2</v>
      </c>
      <c r="E49" s="112">
        <v>1</v>
      </c>
      <c r="F49" s="117">
        <f t="shared" si="1"/>
        <v>2.6387999999999998</v>
      </c>
      <c r="H49" s="71"/>
      <c r="I49" s="71" t="s">
        <v>162</v>
      </c>
      <c r="J49" s="206">
        <v>3.62</v>
      </c>
      <c r="K49" s="112">
        <v>1.2</v>
      </c>
      <c r="L49" s="112">
        <v>1</v>
      </c>
      <c r="M49" s="113">
        <f t="shared" si="2"/>
        <v>4.3440000000000003</v>
      </c>
    </row>
    <row r="50" spans="1:14" x14ac:dyDescent="0.2">
      <c r="A50" s="71"/>
      <c r="B50" s="71" t="s">
        <v>147</v>
      </c>
      <c r="C50" s="206">
        <v>2.9340000000000002</v>
      </c>
      <c r="D50" s="112">
        <v>1.2</v>
      </c>
      <c r="E50" s="112">
        <v>1</v>
      </c>
      <c r="F50" s="117">
        <f t="shared" si="1"/>
        <v>3.5207999999999999</v>
      </c>
      <c r="H50" s="71"/>
      <c r="I50" s="71" t="s">
        <v>163</v>
      </c>
      <c r="J50" s="206">
        <v>3.8940000000000001</v>
      </c>
      <c r="K50" s="112">
        <v>1.2</v>
      </c>
      <c r="L50" s="112">
        <v>1</v>
      </c>
      <c r="M50" s="113">
        <f t="shared" si="2"/>
        <v>4.6727999999999996</v>
      </c>
    </row>
    <row r="51" spans="1:14" x14ac:dyDescent="0.2">
      <c r="A51" s="71"/>
      <c r="B51" s="71" t="s">
        <v>148</v>
      </c>
      <c r="C51" s="206">
        <v>2.21</v>
      </c>
      <c r="D51" s="112">
        <v>1.2</v>
      </c>
      <c r="E51" s="112">
        <v>1</v>
      </c>
      <c r="F51" s="117">
        <f t="shared" si="1"/>
        <v>2.6519999999999997</v>
      </c>
      <c r="H51" s="71"/>
      <c r="I51" s="71" t="s">
        <v>164</v>
      </c>
      <c r="J51" s="206">
        <v>2.3610000000000002</v>
      </c>
      <c r="K51" s="112">
        <v>1.2</v>
      </c>
      <c r="L51" s="112">
        <v>1</v>
      </c>
      <c r="M51" s="113">
        <f t="shared" si="2"/>
        <v>2.8332000000000002</v>
      </c>
    </row>
    <row r="52" spans="1:14" x14ac:dyDescent="0.2">
      <c r="A52" s="71"/>
      <c r="B52" s="121" t="s">
        <v>165</v>
      </c>
      <c r="C52" s="117">
        <f>'2) Tableau des prix'!D47</f>
        <v>0</v>
      </c>
      <c r="D52" s="112">
        <v>1.2</v>
      </c>
      <c r="E52" s="112">
        <v>1</v>
      </c>
      <c r="F52" s="117" t="str">
        <f>IF(C52=0,"",C52*D52*E52)</f>
        <v/>
      </c>
      <c r="H52" s="71"/>
      <c r="I52" s="121" t="s">
        <v>165</v>
      </c>
      <c r="J52" s="117">
        <f>'[1]2) Tableau des prix'!D63</f>
        <v>0</v>
      </c>
      <c r="K52" s="112">
        <v>1.2</v>
      </c>
      <c r="L52" s="112">
        <v>1</v>
      </c>
      <c r="M52" s="113" t="str">
        <f>IF(J52=0,"",J52*K52*L52)</f>
        <v/>
      </c>
    </row>
    <row r="53" spans="1:14" x14ac:dyDescent="0.2">
      <c r="A53" s="71"/>
      <c r="B53" s="121" t="s">
        <v>150</v>
      </c>
      <c r="C53" s="117">
        <f>'2) Tableau des prix'!D48</f>
        <v>0</v>
      </c>
      <c r="D53" s="112">
        <v>1.2</v>
      </c>
      <c r="E53" s="112">
        <v>1</v>
      </c>
      <c r="F53" s="117" t="str">
        <f>IF(C53=0,"",C53*D53*E53)</f>
        <v/>
      </c>
      <c r="H53" s="71"/>
      <c r="I53" s="121" t="s">
        <v>150</v>
      </c>
      <c r="J53" s="117">
        <f>'[1]2) Tableau des prix'!D64</f>
        <v>0</v>
      </c>
      <c r="K53" s="112">
        <v>1.2</v>
      </c>
      <c r="L53" s="112">
        <v>1</v>
      </c>
      <c r="M53" s="113" t="str">
        <f>IF(J53=0,"",J53*K53*L53)</f>
        <v/>
      </c>
    </row>
    <row r="54" spans="1:14" x14ac:dyDescent="0.2">
      <c r="A54" s="71"/>
      <c r="B54" s="121" t="s">
        <v>151</v>
      </c>
      <c r="C54" s="117">
        <f>'2) Tableau des prix'!D49</f>
        <v>0</v>
      </c>
      <c r="D54" s="112">
        <v>1.2</v>
      </c>
      <c r="E54" s="112">
        <v>1</v>
      </c>
      <c r="F54" s="117" t="str">
        <f>IF(C54=0,"",C54*D54*E54)</f>
        <v/>
      </c>
      <c r="H54" s="71"/>
      <c r="I54" s="121" t="s">
        <v>151</v>
      </c>
      <c r="J54" s="117">
        <f>'[1]2) Tableau des prix'!D65</f>
        <v>0</v>
      </c>
      <c r="K54" s="112">
        <v>1.2</v>
      </c>
      <c r="L54" s="112">
        <v>1</v>
      </c>
      <c r="M54" s="113" t="str">
        <f>IF(J54=0,"",J54*K54*L54)</f>
        <v/>
      </c>
    </row>
    <row r="55" spans="1:14" x14ac:dyDescent="0.2">
      <c r="A55" s="71"/>
      <c r="B55" s="121" t="s">
        <v>152</v>
      </c>
      <c r="C55" s="117">
        <f>'2) Tableau des prix'!D50</f>
        <v>0</v>
      </c>
      <c r="D55" s="112">
        <v>1.2</v>
      </c>
      <c r="E55" s="112">
        <v>1</v>
      </c>
      <c r="F55" s="117" t="str">
        <f>IF(C55=0,"",C55*D55*E55)</f>
        <v/>
      </c>
      <c r="H55" s="71"/>
      <c r="I55" s="121" t="s">
        <v>152</v>
      </c>
      <c r="J55" s="117">
        <f>'[1]2) Tableau des prix'!D66</f>
        <v>0</v>
      </c>
      <c r="K55" s="112">
        <v>1.2</v>
      </c>
      <c r="L55" s="112">
        <v>1</v>
      </c>
      <c r="M55" s="113" t="str">
        <f>IF(J55=0,"",J55*K55*L55)</f>
        <v/>
      </c>
    </row>
    <row r="56" spans="1:14" x14ac:dyDescent="0.2">
      <c r="A56" s="71"/>
      <c r="B56" s="121" t="s">
        <v>153</v>
      </c>
      <c r="C56" s="117">
        <f>'2) Tableau des prix'!D51</f>
        <v>0</v>
      </c>
      <c r="D56" s="112">
        <v>1.2</v>
      </c>
      <c r="E56" s="112">
        <v>1</v>
      </c>
      <c r="F56" s="117" t="str">
        <f>IF(C56=0,"",C56*D56*E56)</f>
        <v/>
      </c>
      <c r="H56" s="71"/>
      <c r="I56" s="121" t="s">
        <v>153</v>
      </c>
      <c r="J56" s="117">
        <f>'[1]2) Tableau des prix'!D67</f>
        <v>0</v>
      </c>
      <c r="K56" s="112">
        <v>1.2</v>
      </c>
      <c r="L56" s="112">
        <v>1</v>
      </c>
      <c r="M56" s="113" t="str">
        <f>IF(J56=0,"",J56*K56*L56)</f>
        <v/>
      </c>
    </row>
    <row r="57" spans="1:14" x14ac:dyDescent="0.2">
      <c r="A57" s="71"/>
      <c r="B57" s="71"/>
      <c r="C57" s="71"/>
      <c r="D57" s="71" t="s">
        <v>327</v>
      </c>
      <c r="E57" s="71">
        <f>SUM(E42:E56)</f>
        <v>15</v>
      </c>
      <c r="F57" s="71"/>
      <c r="H57" s="71"/>
      <c r="I57" s="71"/>
      <c r="J57" s="71"/>
      <c r="K57" s="71" t="s">
        <v>327</v>
      </c>
      <c r="L57" s="71">
        <f>SUM(L42:L56)</f>
        <v>15</v>
      </c>
      <c r="M57" s="71"/>
    </row>
    <row r="58" spans="1:14" x14ac:dyDescent="0.2">
      <c r="A58" s="71"/>
      <c r="B58" s="116" t="s">
        <v>335</v>
      </c>
      <c r="C58" s="182">
        <f>AVERAGE(F42:F56)</f>
        <v>2.5529999999999999</v>
      </c>
      <c r="D58" s="182"/>
      <c r="E58" s="182"/>
      <c r="F58" s="182"/>
      <c r="G58" s="143">
        <f>C58</f>
        <v>2.5529999999999999</v>
      </c>
      <c r="H58" s="71"/>
      <c r="I58" s="116" t="s">
        <v>336</v>
      </c>
      <c r="J58" s="184">
        <f>AVERAGE(M42:M56)</f>
        <v>4.0838400000000004</v>
      </c>
      <c r="K58" s="184"/>
      <c r="L58" s="184"/>
      <c r="M58" s="184"/>
      <c r="N58" s="87">
        <f>J58</f>
        <v>4.0838400000000004</v>
      </c>
    </row>
    <row r="59" spans="1:14" x14ac:dyDescent="0.2">
      <c r="A59" s="71"/>
      <c r="B59" s="120" t="s">
        <v>337</v>
      </c>
      <c r="C59" s="71"/>
      <c r="D59" s="71"/>
      <c r="E59" s="71"/>
      <c r="F59" s="71"/>
      <c r="H59" s="71"/>
      <c r="I59" s="120" t="s">
        <v>338</v>
      </c>
      <c r="J59" s="71"/>
      <c r="K59" s="108"/>
      <c r="L59" s="108"/>
      <c r="M59" s="71"/>
    </row>
    <row r="60" spans="1:14" x14ac:dyDescent="0.2">
      <c r="A60" s="71"/>
      <c r="B60" s="71" t="s">
        <v>167</v>
      </c>
      <c r="C60" s="207">
        <v>1.476</v>
      </c>
      <c r="D60" s="113">
        <v>2.5</v>
      </c>
      <c r="E60" s="112">
        <v>1</v>
      </c>
      <c r="F60" s="110">
        <f t="shared" ref="F60:F69" si="3">$C60*$D60*$E60</f>
        <v>3.69</v>
      </c>
      <c r="H60" s="71"/>
      <c r="I60" s="71" t="s">
        <v>177</v>
      </c>
      <c r="J60" s="206">
        <v>2.0960000000000001</v>
      </c>
      <c r="K60" s="113">
        <v>2.5</v>
      </c>
      <c r="L60" s="112">
        <v>1</v>
      </c>
      <c r="M60" s="110">
        <f t="shared" ref="M60:M69" si="4">$J60*$K60*$L60</f>
        <v>5.24</v>
      </c>
    </row>
    <row r="61" spans="1:14" x14ac:dyDescent="0.2">
      <c r="A61" s="71"/>
      <c r="B61" s="71" t="s">
        <v>168</v>
      </c>
      <c r="C61" s="207">
        <v>1.218</v>
      </c>
      <c r="D61" s="112">
        <v>1.1100000000000001</v>
      </c>
      <c r="E61" s="112">
        <v>1</v>
      </c>
      <c r="F61" s="110">
        <f t="shared" si="3"/>
        <v>1.3519800000000002</v>
      </c>
      <c r="H61" s="71"/>
      <c r="I61" s="71" t="s">
        <v>178</v>
      </c>
      <c r="J61" s="206">
        <v>1.508</v>
      </c>
      <c r="K61" s="112">
        <v>1.1100000000000001</v>
      </c>
      <c r="L61" s="112">
        <v>1</v>
      </c>
      <c r="M61" s="110">
        <f t="shared" si="4"/>
        <v>1.6738800000000003</v>
      </c>
    </row>
    <row r="62" spans="1:14" x14ac:dyDescent="0.2">
      <c r="A62" s="71"/>
      <c r="B62" s="71" t="s">
        <v>169</v>
      </c>
      <c r="C62" s="207">
        <v>2.9889999999999999</v>
      </c>
      <c r="D62" s="112">
        <v>1.25</v>
      </c>
      <c r="E62" s="112">
        <v>1</v>
      </c>
      <c r="F62" s="110">
        <f t="shared" si="3"/>
        <v>3.7362500000000001</v>
      </c>
      <c r="H62" s="71"/>
      <c r="I62" s="71" t="s">
        <v>334</v>
      </c>
      <c r="J62" s="206">
        <v>2.41</v>
      </c>
      <c r="K62" s="112">
        <v>1.25</v>
      </c>
      <c r="L62" s="112">
        <v>1</v>
      </c>
      <c r="M62" s="110">
        <f t="shared" si="4"/>
        <v>3.0125000000000002</v>
      </c>
    </row>
    <row r="63" spans="1:14" x14ac:dyDescent="0.2">
      <c r="A63" s="71"/>
      <c r="B63" s="71" t="s">
        <v>170</v>
      </c>
      <c r="C63" s="207">
        <v>5.29</v>
      </c>
      <c r="D63" s="112">
        <v>1.05</v>
      </c>
      <c r="E63" s="112">
        <v>1</v>
      </c>
      <c r="F63" s="110">
        <f t="shared" si="3"/>
        <v>5.5545</v>
      </c>
      <c r="H63" s="71"/>
      <c r="I63" s="71" t="s">
        <v>180</v>
      </c>
      <c r="J63" s="206">
        <v>7.86</v>
      </c>
      <c r="K63" s="112">
        <v>1.05</v>
      </c>
      <c r="L63" s="112">
        <v>1</v>
      </c>
      <c r="M63" s="110">
        <f t="shared" si="4"/>
        <v>8.2530000000000001</v>
      </c>
    </row>
    <row r="64" spans="1:14" x14ac:dyDescent="0.2">
      <c r="A64" s="71"/>
      <c r="B64" s="71" t="s">
        <v>143</v>
      </c>
      <c r="C64" s="207">
        <f>'2) Tableau des prix'!D73</f>
        <v>1.55</v>
      </c>
      <c r="D64" s="112">
        <v>1.67</v>
      </c>
      <c r="E64" s="112">
        <v>1</v>
      </c>
      <c r="F64" s="110">
        <f t="shared" si="3"/>
        <v>2.5884999999999998</v>
      </c>
      <c r="H64" s="71"/>
      <c r="I64" s="71" t="s">
        <v>159</v>
      </c>
      <c r="J64" s="206">
        <f>'2) Tableau des prix'!D84</f>
        <v>2.1800000000000002</v>
      </c>
      <c r="K64" s="112">
        <v>1.67</v>
      </c>
      <c r="L64" s="112">
        <v>1</v>
      </c>
      <c r="M64" s="110">
        <f t="shared" si="4"/>
        <v>3.6406000000000001</v>
      </c>
    </row>
    <row r="65" spans="1:14" x14ac:dyDescent="0.2">
      <c r="A65" s="71"/>
      <c r="B65" s="71" t="s">
        <v>171</v>
      </c>
      <c r="C65" s="207">
        <v>1.399</v>
      </c>
      <c r="D65" s="112">
        <v>1.1100000000000001</v>
      </c>
      <c r="E65" s="112">
        <v>1</v>
      </c>
      <c r="F65" s="110">
        <f t="shared" si="3"/>
        <v>1.5528900000000001</v>
      </c>
      <c r="H65" s="71"/>
      <c r="I65" s="71" t="s">
        <v>181</v>
      </c>
      <c r="J65" s="206">
        <v>1.3779999999999999</v>
      </c>
      <c r="K65" s="112">
        <v>1.1100000000000001</v>
      </c>
      <c r="L65" s="112">
        <v>1</v>
      </c>
      <c r="M65" s="110">
        <f t="shared" si="4"/>
        <v>1.5295799999999999</v>
      </c>
    </row>
    <row r="66" spans="1:14" x14ac:dyDescent="0.2">
      <c r="A66" s="71"/>
      <c r="B66" s="71" t="s">
        <v>172</v>
      </c>
      <c r="C66" s="207">
        <v>1.637</v>
      </c>
      <c r="D66" s="113">
        <v>2</v>
      </c>
      <c r="E66" s="112">
        <v>1</v>
      </c>
      <c r="F66" s="110">
        <f t="shared" si="3"/>
        <v>3.274</v>
      </c>
      <c r="H66" s="71"/>
      <c r="I66" s="71" t="s">
        <v>161</v>
      </c>
      <c r="J66" s="206">
        <v>2.5459999999999998</v>
      </c>
      <c r="K66" s="113">
        <v>2</v>
      </c>
      <c r="L66" s="112">
        <v>1</v>
      </c>
      <c r="M66" s="110">
        <f t="shared" si="4"/>
        <v>5.0919999999999996</v>
      </c>
    </row>
    <row r="67" spans="1:14" x14ac:dyDescent="0.2">
      <c r="A67" s="71"/>
      <c r="B67" s="71" t="s">
        <v>173</v>
      </c>
      <c r="C67" s="207">
        <v>3.49</v>
      </c>
      <c r="D67" s="112">
        <v>1.25</v>
      </c>
      <c r="E67" s="112">
        <v>1</v>
      </c>
      <c r="F67" s="110">
        <f t="shared" si="3"/>
        <v>4.3625000000000007</v>
      </c>
      <c r="H67" s="71"/>
      <c r="I67" s="71" t="s">
        <v>182</v>
      </c>
      <c r="J67" s="206">
        <f>'2) Tableau des prix'!D87</f>
        <v>4.8099999999999996</v>
      </c>
      <c r="K67" s="112">
        <v>1.25</v>
      </c>
      <c r="L67" s="112">
        <v>1</v>
      </c>
      <c r="M67" s="110">
        <f t="shared" si="4"/>
        <v>6.0124999999999993</v>
      </c>
    </row>
    <row r="68" spans="1:14" x14ac:dyDescent="0.2">
      <c r="A68" s="71"/>
      <c r="B68" s="71" t="s">
        <v>397</v>
      </c>
      <c r="C68" s="207">
        <v>1.6040000000000001</v>
      </c>
      <c r="D68" s="112">
        <v>1.25</v>
      </c>
      <c r="E68" s="112">
        <v>1</v>
      </c>
      <c r="F68" s="110">
        <f t="shared" si="3"/>
        <v>2.0049999999999999</v>
      </c>
      <c r="H68" s="71"/>
      <c r="I68" s="71" t="s">
        <v>183</v>
      </c>
      <c r="J68" s="206">
        <f>'2) Tableau des prix'!D88</f>
        <v>1.87</v>
      </c>
      <c r="K68" s="112">
        <v>1.25</v>
      </c>
      <c r="L68" s="112">
        <v>1</v>
      </c>
      <c r="M68" s="110">
        <f t="shared" si="4"/>
        <v>2.3375000000000004</v>
      </c>
    </row>
    <row r="69" spans="1:14" x14ac:dyDescent="0.2">
      <c r="A69" s="71"/>
      <c r="B69" s="71" t="s">
        <v>175</v>
      </c>
      <c r="C69" s="207">
        <v>3.5089999999999999</v>
      </c>
      <c r="D69" s="112">
        <v>1.1100000000000001</v>
      </c>
      <c r="E69" s="112">
        <v>1</v>
      </c>
      <c r="F69" s="110">
        <f t="shared" si="3"/>
        <v>3.8949900000000004</v>
      </c>
      <c r="H69" s="71"/>
      <c r="I69" s="71" t="s">
        <v>184</v>
      </c>
      <c r="J69" s="206">
        <v>5.3</v>
      </c>
      <c r="K69" s="112">
        <v>1.1100000000000001</v>
      </c>
      <c r="L69" s="112">
        <v>1</v>
      </c>
      <c r="M69" s="110">
        <f t="shared" si="4"/>
        <v>5.883</v>
      </c>
    </row>
    <row r="70" spans="1:14" x14ac:dyDescent="0.2">
      <c r="A70" s="71"/>
      <c r="B70" s="71"/>
      <c r="C70" s="110"/>
      <c r="D70" s="71" t="s">
        <v>327</v>
      </c>
      <c r="E70" s="112">
        <f>SUM(E60:E69)</f>
        <v>10</v>
      </c>
      <c r="F70" s="110"/>
      <c r="H70" s="71"/>
      <c r="I70" s="71"/>
      <c r="J70" s="117"/>
      <c r="K70" s="71" t="s">
        <v>327</v>
      </c>
      <c r="L70" s="112">
        <f>SUM(L60:L69)</f>
        <v>10</v>
      </c>
      <c r="M70" s="110"/>
    </row>
    <row r="71" spans="1:14" x14ac:dyDescent="0.2">
      <c r="A71" s="71"/>
      <c r="B71" s="116" t="s">
        <v>339</v>
      </c>
      <c r="C71" s="182">
        <f>AVERAGE(F60:F69)</f>
        <v>3.2010610000000006</v>
      </c>
      <c r="D71" s="182"/>
      <c r="E71" s="182"/>
      <c r="F71" s="182"/>
      <c r="G71" s="143">
        <f>C71</f>
        <v>3.2010610000000006</v>
      </c>
      <c r="H71" s="71"/>
      <c r="I71" s="116" t="s">
        <v>340</v>
      </c>
      <c r="J71" s="186">
        <f>SUM(M60:M69)/L70</f>
        <v>4.2674560000000001</v>
      </c>
      <c r="K71" s="186"/>
      <c r="L71" s="186"/>
      <c r="M71" s="186"/>
      <c r="N71" s="143">
        <f>J71</f>
        <v>4.2674560000000001</v>
      </c>
    </row>
    <row r="72" spans="1:14" x14ac:dyDescent="0.2">
      <c r="A72" s="71"/>
      <c r="B72" s="120" t="s">
        <v>341</v>
      </c>
      <c r="C72" s="110"/>
      <c r="D72" s="112"/>
      <c r="E72" s="112"/>
      <c r="F72" s="110"/>
      <c r="H72" s="71"/>
      <c r="I72" s="120" t="s">
        <v>342</v>
      </c>
      <c r="J72" s="117"/>
      <c r="K72" s="112"/>
      <c r="L72" s="112"/>
      <c r="M72" s="110"/>
    </row>
    <row r="73" spans="1:14" x14ac:dyDescent="0.2">
      <c r="A73" s="71"/>
      <c r="B73" s="71" t="s">
        <v>186</v>
      </c>
      <c r="C73" s="207">
        <v>6.3239999999999998</v>
      </c>
      <c r="D73" s="112">
        <v>1</v>
      </c>
      <c r="E73" s="112">
        <v>1</v>
      </c>
      <c r="F73" s="110">
        <f t="shared" ref="F73:F81" si="5">C73*D73*E73</f>
        <v>6.3239999999999998</v>
      </c>
      <c r="H73" s="71"/>
      <c r="I73" s="71" t="s">
        <v>194</v>
      </c>
      <c r="J73" s="206">
        <v>5.7080000000000002</v>
      </c>
      <c r="K73" s="112">
        <v>1</v>
      </c>
      <c r="L73" s="112">
        <v>1</v>
      </c>
      <c r="M73" s="110">
        <f t="shared" ref="M73:M81" si="6">J73*K73*L73</f>
        <v>5.7080000000000002</v>
      </c>
    </row>
    <row r="74" spans="1:14" x14ac:dyDescent="0.2">
      <c r="A74" s="71"/>
      <c r="B74" s="71" t="s">
        <v>140</v>
      </c>
      <c r="C74" s="207">
        <v>1.8029999999999999</v>
      </c>
      <c r="D74" s="112">
        <v>1</v>
      </c>
      <c r="E74" s="112">
        <v>1</v>
      </c>
      <c r="F74" s="110">
        <f t="shared" si="5"/>
        <v>1.8029999999999999</v>
      </c>
      <c r="H74" s="71"/>
      <c r="I74" s="71" t="s">
        <v>195</v>
      </c>
      <c r="J74" s="206">
        <f>'2) Tableau des prix'!D102</f>
        <v>2.0699999999999998</v>
      </c>
      <c r="K74" s="112">
        <v>1</v>
      </c>
      <c r="L74" s="112">
        <v>1</v>
      </c>
      <c r="M74" s="110">
        <f t="shared" si="6"/>
        <v>2.0699999999999998</v>
      </c>
    </row>
    <row r="75" spans="1:14" x14ac:dyDescent="0.2">
      <c r="A75" s="71"/>
      <c r="B75" s="71" t="s">
        <v>187</v>
      </c>
      <c r="C75" s="207">
        <v>2.73</v>
      </c>
      <c r="D75" s="112">
        <v>1</v>
      </c>
      <c r="E75" s="112">
        <v>1</v>
      </c>
      <c r="F75" s="110">
        <f t="shared" si="5"/>
        <v>2.73</v>
      </c>
      <c r="H75" s="71"/>
      <c r="I75" s="71" t="s">
        <v>196</v>
      </c>
      <c r="J75" s="206">
        <v>2.4409999999999998</v>
      </c>
      <c r="K75" s="112">
        <v>1</v>
      </c>
      <c r="L75" s="112">
        <v>1</v>
      </c>
      <c r="M75" s="110">
        <f t="shared" si="6"/>
        <v>2.4409999999999998</v>
      </c>
    </row>
    <row r="76" spans="1:14" x14ac:dyDescent="0.2">
      <c r="A76" s="71"/>
      <c r="B76" s="71" t="s">
        <v>188</v>
      </c>
      <c r="C76" s="207">
        <v>2.4470000000000001</v>
      </c>
      <c r="D76" s="112">
        <v>1</v>
      </c>
      <c r="E76" s="112">
        <v>1</v>
      </c>
      <c r="F76" s="110">
        <f t="shared" si="5"/>
        <v>2.4470000000000001</v>
      </c>
      <c r="H76" s="71"/>
      <c r="I76" s="71" t="s">
        <v>197</v>
      </c>
      <c r="J76" s="206">
        <f>'2) Tableau des prix'!D104</f>
        <v>6.29</v>
      </c>
      <c r="K76" s="112">
        <v>1</v>
      </c>
      <c r="L76" s="112">
        <v>1</v>
      </c>
      <c r="M76" s="110">
        <f t="shared" si="6"/>
        <v>6.29</v>
      </c>
    </row>
    <row r="77" spans="1:14" x14ac:dyDescent="0.2">
      <c r="A77" s="71"/>
      <c r="B77" s="71" t="s">
        <v>189</v>
      </c>
      <c r="C77" s="207">
        <v>3.43</v>
      </c>
      <c r="D77" s="112">
        <v>1</v>
      </c>
      <c r="E77" s="112">
        <v>1</v>
      </c>
      <c r="F77" s="110">
        <f t="shared" si="5"/>
        <v>3.43</v>
      </c>
      <c r="H77" s="71"/>
      <c r="I77" s="71" t="s">
        <v>198</v>
      </c>
      <c r="J77" s="206">
        <v>3.73</v>
      </c>
      <c r="K77" s="112">
        <v>1</v>
      </c>
      <c r="L77" s="112">
        <v>1</v>
      </c>
      <c r="M77" s="110">
        <f t="shared" si="6"/>
        <v>3.73</v>
      </c>
    </row>
    <row r="78" spans="1:14" x14ac:dyDescent="0.2">
      <c r="A78" s="71"/>
      <c r="B78" s="71" t="s">
        <v>190</v>
      </c>
      <c r="C78" s="207">
        <v>2.056</v>
      </c>
      <c r="D78" s="112">
        <v>1</v>
      </c>
      <c r="E78" s="112">
        <v>1</v>
      </c>
      <c r="F78" s="110">
        <f t="shared" si="5"/>
        <v>2.056</v>
      </c>
      <c r="H78" s="71"/>
      <c r="I78" s="71" t="s">
        <v>199</v>
      </c>
      <c r="J78" s="206">
        <f>'2) Tableau des prix'!D106</f>
        <v>2.35</v>
      </c>
      <c r="K78" s="112">
        <v>1</v>
      </c>
      <c r="L78" s="112">
        <v>1</v>
      </c>
      <c r="M78" s="110">
        <f t="shared" si="6"/>
        <v>2.35</v>
      </c>
    </row>
    <row r="79" spans="1:14" x14ac:dyDescent="0.2">
      <c r="A79" s="71"/>
      <c r="B79" s="71" t="s">
        <v>191</v>
      </c>
      <c r="C79" s="207">
        <v>3.64</v>
      </c>
      <c r="D79" s="112">
        <v>1</v>
      </c>
      <c r="E79" s="112">
        <v>1</v>
      </c>
      <c r="F79" s="110">
        <f t="shared" si="5"/>
        <v>3.64</v>
      </c>
      <c r="H79" s="71"/>
      <c r="I79" s="71" t="s">
        <v>200</v>
      </c>
      <c r="J79" s="206">
        <f>'2) Tableau des prix'!D107</f>
        <v>3.61</v>
      </c>
      <c r="K79" s="112">
        <v>1</v>
      </c>
      <c r="L79" s="112">
        <v>1</v>
      </c>
      <c r="M79" s="110">
        <f t="shared" si="6"/>
        <v>3.61</v>
      </c>
    </row>
    <row r="80" spans="1:14" x14ac:dyDescent="0.2">
      <c r="A80" s="71"/>
      <c r="B80" s="71" t="s">
        <v>192</v>
      </c>
      <c r="C80" s="207">
        <v>4.3339999999999996</v>
      </c>
      <c r="D80" s="112">
        <v>1</v>
      </c>
      <c r="E80" s="112">
        <v>1</v>
      </c>
      <c r="F80" s="110">
        <f t="shared" si="5"/>
        <v>4.3339999999999996</v>
      </c>
      <c r="H80" s="71"/>
      <c r="I80" s="71" t="s">
        <v>201</v>
      </c>
      <c r="J80" s="206">
        <v>5.0860000000000003</v>
      </c>
      <c r="K80" s="112">
        <v>1</v>
      </c>
      <c r="L80" s="112">
        <v>1</v>
      </c>
      <c r="M80" s="110">
        <f t="shared" si="6"/>
        <v>5.0860000000000003</v>
      </c>
    </row>
    <row r="81" spans="1:14" x14ac:dyDescent="0.2">
      <c r="A81" s="71"/>
      <c r="B81" s="71" t="s">
        <v>148</v>
      </c>
      <c r="C81" s="207">
        <v>3.89</v>
      </c>
      <c r="D81" s="112">
        <v>1</v>
      </c>
      <c r="E81" s="112">
        <v>1</v>
      </c>
      <c r="F81" s="110">
        <f t="shared" si="5"/>
        <v>3.89</v>
      </c>
      <c r="H81" s="71"/>
      <c r="I81" s="71" t="s">
        <v>164</v>
      </c>
      <c r="J81" s="206">
        <f>'2) Tableau des prix'!D109</f>
        <v>4.42</v>
      </c>
      <c r="K81" s="112">
        <v>1</v>
      </c>
      <c r="L81" s="112">
        <v>1</v>
      </c>
      <c r="M81" s="110">
        <f t="shared" si="6"/>
        <v>4.42</v>
      </c>
    </row>
    <row r="82" spans="1:14" x14ac:dyDescent="0.2">
      <c r="A82" s="71"/>
      <c r="B82" s="71"/>
      <c r="C82" s="71"/>
      <c r="D82" s="71" t="s">
        <v>327</v>
      </c>
      <c r="E82" s="112">
        <f>SUM(E73:E81)</f>
        <v>9</v>
      </c>
      <c r="F82" s="71"/>
      <c r="H82" s="71"/>
      <c r="I82" s="71"/>
      <c r="J82" s="71"/>
      <c r="K82" s="71" t="s">
        <v>327</v>
      </c>
      <c r="L82" s="71">
        <f>SUM(L73:L81)</f>
        <v>9</v>
      </c>
      <c r="M82" s="71"/>
    </row>
    <row r="83" spans="1:14" x14ac:dyDescent="0.2">
      <c r="A83" s="71"/>
      <c r="B83" s="116" t="s">
        <v>343</v>
      </c>
      <c r="C83" s="182">
        <f>SUM(F73:F81)/E82</f>
        <v>3.4060000000000001</v>
      </c>
      <c r="D83" s="182"/>
      <c r="E83" s="182"/>
      <c r="F83" s="182"/>
      <c r="G83" s="143">
        <f>C83</f>
        <v>3.4060000000000001</v>
      </c>
      <c r="H83" s="71"/>
      <c r="I83" s="116" t="s">
        <v>344</v>
      </c>
      <c r="J83" s="186">
        <f>SUM(M73:M81)/L82</f>
        <v>3.9672222222222229</v>
      </c>
      <c r="K83" s="186"/>
      <c r="L83" s="186"/>
      <c r="M83" s="186"/>
      <c r="N83">
        <f>4.93</f>
        <v>4.93</v>
      </c>
    </row>
    <row r="84" spans="1:14" x14ac:dyDescent="0.2">
      <c r="A84" s="71"/>
      <c r="B84" s="71"/>
      <c r="C84" s="123"/>
      <c r="D84" s="123"/>
      <c r="E84" s="123"/>
      <c r="F84" s="123"/>
      <c r="H84" s="71"/>
      <c r="I84" s="71"/>
      <c r="J84" s="71"/>
      <c r="K84" s="71"/>
      <c r="L84" s="71"/>
      <c r="M84" s="71"/>
    </row>
    <row r="85" spans="1:14" x14ac:dyDescent="0.2">
      <c r="A85" s="71"/>
      <c r="B85" s="116" t="s">
        <v>345</v>
      </c>
      <c r="C85" s="184">
        <f>(C58+C71)/2</f>
        <v>2.8770305</v>
      </c>
      <c r="D85" s="184"/>
      <c r="E85" s="184"/>
      <c r="F85" s="184"/>
      <c r="H85" s="71"/>
      <c r="I85" s="116" t="s">
        <v>346</v>
      </c>
      <c r="J85" s="184">
        <f>(J58+J71)/2</f>
        <v>4.1756480000000007</v>
      </c>
      <c r="K85" s="184"/>
      <c r="L85" s="184"/>
      <c r="M85" s="184"/>
    </row>
    <row r="87" spans="1:14" x14ac:dyDescent="0.2">
      <c r="A87" s="187" t="s">
        <v>25</v>
      </c>
      <c r="B87" s="187"/>
      <c r="C87" s="187"/>
      <c r="D87" s="187"/>
      <c r="E87" s="187"/>
      <c r="F87" s="187"/>
      <c r="H87" s="187" t="s">
        <v>347</v>
      </c>
      <c r="I87" s="187"/>
      <c r="J87" s="187"/>
      <c r="K87" s="187"/>
      <c r="L87" s="187"/>
      <c r="M87" s="187"/>
    </row>
    <row r="88" spans="1:14" ht="57.5" customHeight="1" x14ac:dyDescent="0.2">
      <c r="A88" s="188" t="s">
        <v>348</v>
      </c>
      <c r="B88" s="188"/>
      <c r="C88" s="188"/>
      <c r="D88" s="188"/>
      <c r="E88" s="188"/>
      <c r="F88" s="188"/>
    </row>
    <row r="89" spans="1:14" x14ac:dyDescent="0.2">
      <c r="A89" s="124"/>
    </row>
    <row r="90" spans="1:14" x14ac:dyDescent="0.2">
      <c r="A90" s="71"/>
      <c r="B90" s="125" t="s">
        <v>349</v>
      </c>
      <c r="C90" s="108" t="s">
        <v>312</v>
      </c>
      <c r="D90" s="108" t="s">
        <v>313</v>
      </c>
      <c r="E90" s="108" t="s">
        <v>314</v>
      </c>
      <c r="F90" s="108" t="s">
        <v>315</v>
      </c>
      <c r="H90" s="71"/>
      <c r="I90" s="125" t="s">
        <v>350</v>
      </c>
      <c r="J90" s="108" t="s">
        <v>312</v>
      </c>
      <c r="K90" s="108" t="s">
        <v>313</v>
      </c>
      <c r="L90" s="108" t="s">
        <v>314</v>
      </c>
      <c r="M90" s="108" t="s">
        <v>315</v>
      </c>
    </row>
    <row r="91" spans="1:14" x14ac:dyDescent="0.2">
      <c r="A91" s="71"/>
      <c r="B91" s="71" t="s">
        <v>203</v>
      </c>
      <c r="C91" s="206">
        <v>1.8120000000000001</v>
      </c>
      <c r="D91" s="112">
        <v>1</v>
      </c>
      <c r="E91" s="112">
        <v>2</v>
      </c>
      <c r="F91" s="110">
        <f t="shared" ref="F91:F97" si="7">$C91*$D91*$E91</f>
        <v>3.6240000000000001</v>
      </c>
      <c r="H91" s="71"/>
      <c r="I91" s="71" t="s">
        <v>213</v>
      </c>
      <c r="J91" s="207">
        <v>2.87</v>
      </c>
      <c r="K91" s="112">
        <v>1</v>
      </c>
      <c r="L91" s="112">
        <v>2</v>
      </c>
      <c r="M91" s="110">
        <f t="shared" ref="M91:M97" si="8">$J91*$K91*$L91</f>
        <v>5.74</v>
      </c>
    </row>
    <row r="92" spans="1:14" x14ac:dyDescent="0.2">
      <c r="A92" s="71"/>
      <c r="B92" s="71" t="s">
        <v>204</v>
      </c>
      <c r="C92" s="206">
        <v>2.2949999999999999</v>
      </c>
      <c r="D92" s="112">
        <v>1</v>
      </c>
      <c r="E92" s="112">
        <v>2</v>
      </c>
      <c r="F92" s="110">
        <f t="shared" si="7"/>
        <v>4.59</v>
      </c>
      <c r="H92" s="71"/>
      <c r="I92" s="71" t="s">
        <v>214</v>
      </c>
      <c r="J92" s="207">
        <v>2.2000000000000002</v>
      </c>
      <c r="K92" s="112">
        <v>1</v>
      </c>
      <c r="L92" s="112">
        <v>2</v>
      </c>
      <c r="M92" s="110">
        <f t="shared" si="8"/>
        <v>4.4000000000000004</v>
      </c>
    </row>
    <row r="93" spans="1:14" x14ac:dyDescent="0.2">
      <c r="A93" s="71"/>
      <c r="B93" s="71" t="s">
        <v>205</v>
      </c>
      <c r="C93" s="206">
        <v>1.917</v>
      </c>
      <c r="D93" s="112">
        <v>1</v>
      </c>
      <c r="E93" s="112">
        <v>1</v>
      </c>
      <c r="F93" s="110">
        <f t="shared" si="7"/>
        <v>1.917</v>
      </c>
      <c r="H93" s="71"/>
      <c r="I93" s="71" t="s">
        <v>215</v>
      </c>
      <c r="J93" s="207">
        <v>3.24</v>
      </c>
      <c r="K93" s="112">
        <v>1</v>
      </c>
      <c r="L93" s="112">
        <v>1</v>
      </c>
      <c r="M93" s="110">
        <f t="shared" si="8"/>
        <v>3.24</v>
      </c>
    </row>
    <row r="94" spans="1:14" x14ac:dyDescent="0.2">
      <c r="A94" s="71"/>
      <c r="B94" s="71" t="s">
        <v>206</v>
      </c>
      <c r="C94" s="206">
        <v>2.101</v>
      </c>
      <c r="D94" s="112">
        <v>1</v>
      </c>
      <c r="E94" s="112">
        <v>1</v>
      </c>
      <c r="F94" s="110">
        <f t="shared" si="7"/>
        <v>2.101</v>
      </c>
      <c r="H94" s="71"/>
      <c r="I94" s="71" t="s">
        <v>216</v>
      </c>
      <c r="J94" s="207">
        <v>2.74</v>
      </c>
      <c r="K94" s="112">
        <v>1</v>
      </c>
      <c r="L94" s="112">
        <v>1</v>
      </c>
      <c r="M94" s="110">
        <f t="shared" si="8"/>
        <v>2.74</v>
      </c>
    </row>
    <row r="95" spans="1:14" x14ac:dyDescent="0.2">
      <c r="A95" s="71"/>
      <c r="B95" s="71" t="s">
        <v>207</v>
      </c>
      <c r="C95" s="206">
        <v>6.38</v>
      </c>
      <c r="D95" s="112">
        <v>1</v>
      </c>
      <c r="E95" s="112">
        <v>1</v>
      </c>
      <c r="F95" s="110">
        <f t="shared" si="7"/>
        <v>6.38</v>
      </c>
      <c r="H95" s="71"/>
      <c r="I95" s="71" t="s">
        <v>217</v>
      </c>
      <c r="J95" s="207">
        <v>5.8289999999999997</v>
      </c>
      <c r="K95" s="112">
        <v>1</v>
      </c>
      <c r="L95" s="112">
        <v>1</v>
      </c>
      <c r="M95" s="110">
        <f t="shared" si="8"/>
        <v>5.8289999999999997</v>
      </c>
    </row>
    <row r="96" spans="1:14" x14ac:dyDescent="0.2">
      <c r="A96" s="71"/>
      <c r="B96" s="71" t="s">
        <v>208</v>
      </c>
      <c r="C96" s="206">
        <v>2.5609999999999999</v>
      </c>
      <c r="D96" s="112">
        <v>1</v>
      </c>
      <c r="E96" s="112">
        <v>1</v>
      </c>
      <c r="F96" s="110">
        <f t="shared" si="7"/>
        <v>2.5609999999999999</v>
      </c>
      <c r="H96" s="71"/>
      <c r="I96" s="71" t="s">
        <v>218</v>
      </c>
      <c r="J96" s="207">
        <v>4.3600000000000003</v>
      </c>
      <c r="K96" s="112">
        <v>1</v>
      </c>
      <c r="L96" s="112">
        <v>1</v>
      </c>
      <c r="M96" s="110">
        <f t="shared" si="8"/>
        <v>4.3600000000000003</v>
      </c>
    </row>
    <row r="97" spans="1:13" x14ac:dyDescent="0.2">
      <c r="A97" s="71"/>
      <c r="B97" s="71" t="s">
        <v>209</v>
      </c>
      <c r="C97" s="206">
        <v>2.7160000000000002</v>
      </c>
      <c r="D97" s="112">
        <v>1</v>
      </c>
      <c r="E97" s="112">
        <v>0</v>
      </c>
      <c r="F97" s="110">
        <f t="shared" si="7"/>
        <v>0</v>
      </c>
      <c r="H97" s="71"/>
      <c r="I97" s="71" t="s">
        <v>219</v>
      </c>
      <c r="J97" s="207">
        <v>2.5499999999999998</v>
      </c>
      <c r="K97" s="112">
        <v>1</v>
      </c>
      <c r="L97" s="112">
        <v>0</v>
      </c>
      <c r="M97" s="110">
        <f t="shared" si="8"/>
        <v>0</v>
      </c>
    </row>
    <row r="98" spans="1:13" x14ac:dyDescent="0.2">
      <c r="A98" s="71"/>
      <c r="B98" s="71"/>
      <c r="C98" s="71"/>
      <c r="D98" s="71" t="s">
        <v>320</v>
      </c>
      <c r="E98" s="71">
        <f>SUM(E91:E97)</f>
        <v>8</v>
      </c>
      <c r="F98" s="123"/>
      <c r="H98" s="71"/>
      <c r="I98" s="71"/>
      <c r="J98" s="71"/>
      <c r="K98" s="71" t="s">
        <v>351</v>
      </c>
      <c r="L98" s="71">
        <f>SUM(L91:L97)</f>
        <v>8</v>
      </c>
      <c r="M98" s="71"/>
    </row>
    <row r="99" spans="1:13" x14ac:dyDescent="0.2">
      <c r="A99" s="71"/>
      <c r="B99" s="116" t="s">
        <v>352</v>
      </c>
      <c r="C99" s="186">
        <f>SUM(F91:F97)/E98</f>
        <v>2.6466249999999998</v>
      </c>
      <c r="D99" s="186"/>
      <c r="E99" s="186"/>
      <c r="F99" s="186"/>
      <c r="H99" s="71"/>
      <c r="I99" s="116" t="s">
        <v>353</v>
      </c>
      <c r="J99" s="182">
        <f>SUM(M91:M97)/L98</f>
        <v>3.2886250000000001</v>
      </c>
      <c r="K99" s="182"/>
      <c r="L99" s="182"/>
      <c r="M99" s="182"/>
    </row>
    <row r="100" spans="1:13" x14ac:dyDescent="0.2">
      <c r="A100" s="71"/>
      <c r="B100" s="125" t="s">
        <v>354</v>
      </c>
      <c r="C100" s="71"/>
      <c r="D100" s="71"/>
      <c r="E100" s="71"/>
      <c r="F100" s="71"/>
      <c r="H100" s="71"/>
      <c r="I100" s="125" t="s">
        <v>355</v>
      </c>
      <c r="J100" s="71"/>
      <c r="K100" s="71"/>
      <c r="L100" s="71"/>
      <c r="M100" s="71"/>
    </row>
    <row r="101" spans="1:13" x14ac:dyDescent="0.2">
      <c r="A101" s="71"/>
      <c r="B101" s="71" t="s">
        <v>211</v>
      </c>
      <c r="C101" s="206">
        <v>1.8069999999999999</v>
      </c>
      <c r="D101" s="112">
        <v>1</v>
      </c>
      <c r="E101" s="112">
        <v>12</v>
      </c>
      <c r="F101" s="110">
        <f>C101*D101*E101</f>
        <v>21.683999999999997</v>
      </c>
      <c r="H101" s="71"/>
      <c r="I101" s="71" t="s">
        <v>221</v>
      </c>
      <c r="J101" s="210">
        <v>2.1</v>
      </c>
      <c r="K101" s="112">
        <v>1</v>
      </c>
      <c r="L101" s="112">
        <v>12</v>
      </c>
      <c r="M101" s="112">
        <f>J101*K101*L101</f>
        <v>25.200000000000003</v>
      </c>
    </row>
    <row r="102" spans="1:13" x14ac:dyDescent="0.2">
      <c r="A102" s="71"/>
      <c r="B102" s="71"/>
      <c r="C102" s="71"/>
      <c r="D102" s="71" t="s">
        <v>320</v>
      </c>
      <c r="E102" s="71">
        <f>SUM(E101:E101)</f>
        <v>12</v>
      </c>
      <c r="F102" s="71"/>
      <c r="H102" s="71"/>
      <c r="I102" s="71"/>
      <c r="J102" s="71"/>
      <c r="K102" s="71" t="s">
        <v>351</v>
      </c>
      <c r="L102" s="71">
        <f>L101</f>
        <v>12</v>
      </c>
      <c r="M102" s="71"/>
    </row>
    <row r="103" spans="1:13" x14ac:dyDescent="0.2">
      <c r="A103" s="71"/>
      <c r="B103" s="71"/>
      <c r="C103" s="71"/>
      <c r="D103" s="106" t="s">
        <v>327</v>
      </c>
      <c r="E103" s="71">
        <f>E98+E102</f>
        <v>20</v>
      </c>
      <c r="F103" s="71"/>
      <c r="H103" s="71"/>
      <c r="I103" s="71"/>
      <c r="J103" s="71"/>
      <c r="K103" s="106" t="s">
        <v>327</v>
      </c>
      <c r="L103" s="71">
        <f>SUM(L98+L102)</f>
        <v>20</v>
      </c>
      <c r="M103" s="71"/>
    </row>
    <row r="104" spans="1:13" x14ac:dyDescent="0.2">
      <c r="A104" s="71"/>
      <c r="B104" s="116" t="s">
        <v>356</v>
      </c>
      <c r="C104" s="182">
        <f>F101/E102</f>
        <v>1.8069999999999997</v>
      </c>
      <c r="D104" s="182"/>
      <c r="E104" s="182"/>
      <c r="F104" s="182"/>
      <c r="H104" s="71"/>
      <c r="I104" s="116" t="s">
        <v>357</v>
      </c>
      <c r="J104" s="186">
        <f>M101/L102</f>
        <v>2.1</v>
      </c>
      <c r="K104" s="186"/>
      <c r="L104" s="186"/>
      <c r="M104" s="186"/>
    </row>
    <row r="106" spans="1:13" x14ac:dyDescent="0.2">
      <c r="A106" s="189" t="s">
        <v>358</v>
      </c>
      <c r="B106" s="189"/>
      <c r="C106" s="189"/>
      <c r="D106" s="189"/>
      <c r="E106" s="189"/>
      <c r="F106" s="189"/>
      <c r="H106" s="189" t="s">
        <v>359</v>
      </c>
      <c r="I106" s="189"/>
      <c r="J106" s="189"/>
      <c r="K106" s="189"/>
      <c r="L106" s="189"/>
      <c r="M106" s="189"/>
    </row>
    <row r="107" spans="1:13" ht="35" customHeight="1" x14ac:dyDescent="0.2">
      <c r="A107" s="180" t="s">
        <v>360</v>
      </c>
      <c r="B107" s="180"/>
      <c r="C107" s="180"/>
      <c r="D107" s="180"/>
      <c r="E107" s="180"/>
      <c r="F107" s="180"/>
      <c r="H107" s="190"/>
      <c r="I107" s="190"/>
      <c r="J107" s="190"/>
      <c r="K107" s="190"/>
      <c r="L107" s="190"/>
      <c r="M107" s="190"/>
    </row>
    <row r="109" spans="1:13" x14ac:dyDescent="0.2">
      <c r="A109" s="71"/>
      <c r="B109" s="126" t="s">
        <v>361</v>
      </c>
      <c r="C109" s="108" t="s">
        <v>312</v>
      </c>
      <c r="D109" s="108" t="s">
        <v>313</v>
      </c>
      <c r="E109" s="108" t="s">
        <v>314</v>
      </c>
      <c r="F109" s="108" t="s">
        <v>315</v>
      </c>
      <c r="H109" s="71"/>
      <c r="I109" s="126" t="s">
        <v>362</v>
      </c>
      <c r="J109" s="108" t="s">
        <v>312</v>
      </c>
      <c r="K109" s="108" t="s">
        <v>313</v>
      </c>
      <c r="L109" s="108" t="s">
        <v>314</v>
      </c>
      <c r="M109" s="108" t="s">
        <v>315</v>
      </c>
    </row>
    <row r="110" spans="1:13" x14ac:dyDescent="0.2">
      <c r="A110" s="71"/>
      <c r="B110" s="71" t="s">
        <v>223</v>
      </c>
      <c r="C110" s="207">
        <v>1.6679999999999999</v>
      </c>
      <c r="D110" s="112">
        <v>1</v>
      </c>
      <c r="E110" s="112">
        <v>3</v>
      </c>
      <c r="F110" s="110">
        <f>$C110*$D110*$E110</f>
        <v>5.0039999999999996</v>
      </c>
      <c r="H110" s="71"/>
      <c r="I110" s="71" t="s">
        <v>223</v>
      </c>
      <c r="J110" s="207">
        <v>2.31</v>
      </c>
      <c r="K110" s="112">
        <v>1</v>
      </c>
      <c r="L110" s="112">
        <v>3</v>
      </c>
      <c r="M110" s="110">
        <f>$J110*$K110*$L110</f>
        <v>6.93</v>
      </c>
    </row>
    <row r="111" spans="1:13" x14ac:dyDescent="0.2">
      <c r="A111" s="71"/>
      <c r="B111" s="71" t="s">
        <v>224</v>
      </c>
      <c r="C111" s="207">
        <v>2.302</v>
      </c>
      <c r="D111" s="112">
        <v>1</v>
      </c>
      <c r="E111" s="112">
        <v>2</v>
      </c>
      <c r="F111" s="110">
        <f>$C111*$D111*$E111</f>
        <v>4.6040000000000001</v>
      </c>
      <c r="H111" s="71"/>
      <c r="I111" s="71" t="s">
        <v>224</v>
      </c>
      <c r="J111" s="207">
        <v>3.49</v>
      </c>
      <c r="K111" s="112">
        <v>1</v>
      </c>
      <c r="L111" s="112">
        <v>2</v>
      </c>
      <c r="M111" s="110">
        <f>$J111*$K111*$L111</f>
        <v>6.98</v>
      </c>
    </row>
    <row r="112" spans="1:13" x14ac:dyDescent="0.2">
      <c r="A112" s="71"/>
      <c r="B112" s="71" t="s">
        <v>225</v>
      </c>
      <c r="C112" s="207">
        <v>2.3330000000000002</v>
      </c>
      <c r="D112" s="112">
        <v>1</v>
      </c>
      <c r="E112" s="112">
        <v>2</v>
      </c>
      <c r="F112" s="110">
        <f>$C112*$D112*$E112</f>
        <v>4.6660000000000004</v>
      </c>
      <c r="H112" s="71"/>
      <c r="I112" s="71" t="s">
        <v>225</v>
      </c>
      <c r="J112" s="207">
        <v>2.2200000000000002</v>
      </c>
      <c r="K112" s="112">
        <v>1</v>
      </c>
      <c r="L112" s="112">
        <v>2</v>
      </c>
      <c r="M112" s="110">
        <f>$J112*$K112*$L112</f>
        <v>4.4400000000000004</v>
      </c>
    </row>
    <row r="113" spans="1:13" x14ac:dyDescent="0.2">
      <c r="A113" s="71"/>
      <c r="B113" s="71" t="s">
        <v>226</v>
      </c>
      <c r="C113" s="207">
        <v>2.6349999999999998</v>
      </c>
      <c r="D113" s="112">
        <v>1</v>
      </c>
      <c r="E113" s="112">
        <v>2</v>
      </c>
      <c r="F113" s="110">
        <f>$C113*$D113*$E113</f>
        <v>5.27</v>
      </c>
      <c r="H113" s="71"/>
      <c r="I113" s="71" t="s">
        <v>226</v>
      </c>
      <c r="J113" s="207">
        <v>3.99</v>
      </c>
      <c r="K113" s="112">
        <v>1</v>
      </c>
      <c r="L113" s="112">
        <v>2</v>
      </c>
      <c r="M113" s="110">
        <f>$J113*$K113*$L113</f>
        <v>7.98</v>
      </c>
    </row>
    <row r="114" spans="1:13" x14ac:dyDescent="0.2">
      <c r="A114" s="71"/>
      <c r="B114" s="71" t="s">
        <v>227</v>
      </c>
      <c r="C114" s="207">
        <v>3.9129999999999998</v>
      </c>
      <c r="D114" s="112">
        <v>1</v>
      </c>
      <c r="E114" s="112">
        <v>2</v>
      </c>
      <c r="F114" s="110">
        <f>$C114*$D114*$E114</f>
        <v>7.8259999999999996</v>
      </c>
      <c r="H114" s="71"/>
      <c r="I114" s="71" t="s">
        <v>227</v>
      </c>
      <c r="J114" s="207">
        <v>3.41</v>
      </c>
      <c r="K114" s="112">
        <v>1</v>
      </c>
      <c r="L114" s="112">
        <v>2</v>
      </c>
      <c r="M114" s="110">
        <f>$J114*$K114*$L114</f>
        <v>6.82</v>
      </c>
    </row>
    <row r="115" spans="1:13" x14ac:dyDescent="0.2">
      <c r="A115" s="71"/>
      <c r="B115" s="71"/>
      <c r="C115" s="71"/>
      <c r="D115" s="71" t="s">
        <v>351</v>
      </c>
      <c r="E115" s="71">
        <f>SUM(E110:E114)</f>
        <v>11</v>
      </c>
      <c r="F115" s="127">
        <f>E115/20</f>
        <v>0.55000000000000004</v>
      </c>
      <c r="H115" s="71"/>
      <c r="I115" s="71"/>
      <c r="J115" s="71"/>
      <c r="K115" s="71" t="s">
        <v>351</v>
      </c>
      <c r="L115" s="71">
        <f>SUM(L110:L114)</f>
        <v>11</v>
      </c>
      <c r="M115" s="71"/>
    </row>
    <row r="116" spans="1:13" x14ac:dyDescent="0.2">
      <c r="A116" s="71"/>
      <c r="B116" s="116" t="s">
        <v>363</v>
      </c>
      <c r="C116" s="186">
        <f>SUM(F110:F114)/E115</f>
        <v>2.4881818181818183</v>
      </c>
      <c r="D116" s="186"/>
      <c r="E116" s="186"/>
      <c r="F116" s="186"/>
      <c r="H116" s="71"/>
      <c r="I116" s="116" t="s">
        <v>364</v>
      </c>
      <c r="J116" s="182">
        <f>SUM(M110:M114)/L115</f>
        <v>3.0136363636363641</v>
      </c>
      <c r="K116" s="182"/>
      <c r="L116" s="182"/>
      <c r="M116" s="182"/>
    </row>
    <row r="117" spans="1:13" x14ac:dyDescent="0.2">
      <c r="A117" s="71"/>
      <c r="B117" s="126" t="s">
        <v>365</v>
      </c>
      <c r="C117" s="71"/>
      <c r="D117" s="71"/>
      <c r="E117" s="71"/>
      <c r="F117" s="123"/>
      <c r="H117" s="71"/>
      <c r="I117" s="126" t="s">
        <v>366</v>
      </c>
      <c r="J117" s="123"/>
      <c r="K117" s="71"/>
      <c r="L117" s="71"/>
      <c r="M117" s="71"/>
    </row>
    <row r="118" spans="1:13" x14ac:dyDescent="0.2">
      <c r="A118" s="71"/>
      <c r="B118" s="71" t="s">
        <v>230</v>
      </c>
      <c r="C118" s="207">
        <v>1.605</v>
      </c>
      <c r="D118" s="112">
        <v>1</v>
      </c>
      <c r="E118" s="112">
        <v>2</v>
      </c>
      <c r="F118" s="110">
        <f>$C118*$D118*$E118</f>
        <v>3.21</v>
      </c>
      <c r="H118" s="71"/>
      <c r="I118" s="71" t="s">
        <v>233</v>
      </c>
      <c r="J118" s="208">
        <v>1.6579999999999999</v>
      </c>
      <c r="K118" s="71">
        <v>1</v>
      </c>
      <c r="L118" s="71">
        <v>2</v>
      </c>
      <c r="M118" s="123">
        <f>$J118*$K118*$L118</f>
        <v>3.3159999999999998</v>
      </c>
    </row>
    <row r="119" spans="1:13" x14ac:dyDescent="0.2">
      <c r="A119" s="71"/>
      <c r="B119" s="71" t="s">
        <v>231</v>
      </c>
      <c r="C119" s="207">
        <v>2.3199999999999998</v>
      </c>
      <c r="D119" s="112">
        <v>1</v>
      </c>
      <c r="E119" s="112">
        <v>2</v>
      </c>
      <c r="F119" s="110">
        <f>$C119*$D119*$E119</f>
        <v>4.6399999999999997</v>
      </c>
      <c r="H119" s="71"/>
      <c r="I119" s="71" t="s">
        <v>234</v>
      </c>
      <c r="J119" s="208">
        <f>'2) Tableau des prix'!D152</f>
        <v>2.44</v>
      </c>
      <c r="K119" s="71">
        <v>1</v>
      </c>
      <c r="L119" s="71">
        <v>2</v>
      </c>
      <c r="M119" s="123">
        <f>$J119*$K119*$L119</f>
        <v>4.88</v>
      </c>
    </row>
    <row r="120" spans="1:13" x14ac:dyDescent="0.2">
      <c r="A120" s="71"/>
      <c r="B120" s="71"/>
      <c r="C120" s="71"/>
      <c r="D120" s="71" t="s">
        <v>351</v>
      </c>
      <c r="E120" s="71">
        <f>SUM(E118:E119)</f>
        <v>4</v>
      </c>
      <c r="F120" s="127">
        <f>E120/20</f>
        <v>0.2</v>
      </c>
      <c r="H120" s="71"/>
      <c r="I120" s="71"/>
      <c r="J120" s="71"/>
      <c r="K120" s="71" t="s">
        <v>351</v>
      </c>
      <c r="L120" s="71">
        <f>SUM(L118:L119)</f>
        <v>4</v>
      </c>
      <c r="M120" s="71"/>
    </row>
    <row r="121" spans="1:13" x14ac:dyDescent="0.2">
      <c r="A121" s="71"/>
      <c r="B121" s="116" t="s">
        <v>367</v>
      </c>
      <c r="C121" s="186">
        <f>SUM(F118:F119)/E120</f>
        <v>1.9624999999999999</v>
      </c>
      <c r="D121" s="186"/>
      <c r="E121" s="186"/>
      <c r="F121" s="186"/>
      <c r="H121" s="71"/>
      <c r="I121" s="116" t="s">
        <v>368</v>
      </c>
      <c r="J121" s="186">
        <f>SUM(M118:M119)/L120</f>
        <v>2.0489999999999999</v>
      </c>
      <c r="K121" s="186"/>
      <c r="L121" s="186"/>
      <c r="M121" s="186"/>
    </row>
    <row r="122" spans="1:13" ht="34" x14ac:dyDescent="0.2">
      <c r="A122" s="71"/>
      <c r="B122" s="128" t="s">
        <v>369</v>
      </c>
      <c r="C122" s="71"/>
      <c r="D122" s="71"/>
      <c r="E122" s="71"/>
      <c r="F122" s="71"/>
      <c r="H122" s="71"/>
      <c r="I122" s="126" t="s">
        <v>370</v>
      </c>
      <c r="J122" s="71"/>
      <c r="K122" s="71"/>
      <c r="L122" s="71"/>
      <c r="M122" s="71"/>
    </row>
    <row r="123" spans="1:13" x14ac:dyDescent="0.2">
      <c r="A123" s="71"/>
      <c r="B123" s="71" t="s">
        <v>236</v>
      </c>
      <c r="C123" s="207">
        <v>2.2909999999999999</v>
      </c>
      <c r="D123" s="112">
        <v>1</v>
      </c>
      <c r="E123" s="112">
        <v>1</v>
      </c>
      <c r="F123" s="110">
        <f>C123*D123*E123</f>
        <v>2.2909999999999999</v>
      </c>
      <c r="H123" s="71"/>
      <c r="I123" s="71" t="s">
        <v>238</v>
      </c>
      <c r="J123" s="207">
        <v>4.7300000000000004</v>
      </c>
      <c r="K123" s="112"/>
      <c r="L123" s="112"/>
      <c r="M123" s="112"/>
    </row>
    <row r="124" spans="1:13" x14ac:dyDescent="0.2">
      <c r="A124" s="71"/>
      <c r="B124" s="71"/>
      <c r="C124" s="71"/>
      <c r="D124" s="71" t="s">
        <v>351</v>
      </c>
      <c r="E124" s="71">
        <f>SUM(E123:E123)</f>
        <v>1</v>
      </c>
      <c r="F124" s="71"/>
      <c r="H124" s="71"/>
      <c r="I124" s="71"/>
      <c r="J124" s="71"/>
      <c r="K124" s="71"/>
      <c r="L124" s="71"/>
      <c r="M124" s="71"/>
    </row>
    <row r="125" spans="1:13" x14ac:dyDescent="0.2">
      <c r="A125" s="71"/>
      <c r="B125" s="116" t="s">
        <v>371</v>
      </c>
      <c r="C125" s="182">
        <f>F123/E124</f>
        <v>2.2909999999999999</v>
      </c>
      <c r="D125" s="182"/>
      <c r="E125" s="182"/>
      <c r="F125" s="182"/>
      <c r="H125" s="71"/>
      <c r="I125" s="116" t="s">
        <v>372</v>
      </c>
      <c r="J125" s="182">
        <f>J123</f>
        <v>4.7300000000000004</v>
      </c>
      <c r="K125" s="182"/>
      <c r="L125" s="182"/>
      <c r="M125" s="182"/>
    </row>
    <row r="126" spans="1:13" x14ac:dyDescent="0.2">
      <c r="A126" s="71"/>
      <c r="B126" s="126" t="s">
        <v>373</v>
      </c>
      <c r="C126" s="108"/>
      <c r="D126" s="108"/>
      <c r="E126" s="108"/>
      <c r="F126" s="108"/>
      <c r="H126" s="71"/>
      <c r="I126" s="126" t="s">
        <v>374</v>
      </c>
      <c r="J126" s="108"/>
      <c r="K126" s="108"/>
      <c r="L126" s="108"/>
      <c r="M126" s="108"/>
    </row>
    <row r="127" spans="1:13" x14ac:dyDescent="0.2">
      <c r="A127" s="71"/>
      <c r="B127" s="71" t="s">
        <v>240</v>
      </c>
      <c r="C127" s="207">
        <v>3.726</v>
      </c>
      <c r="D127" s="112">
        <v>1</v>
      </c>
      <c r="E127" s="112">
        <v>1</v>
      </c>
      <c r="F127" s="110">
        <f>C127*D127*E127</f>
        <v>3.726</v>
      </c>
      <c r="H127" s="71"/>
      <c r="I127" s="71" t="s">
        <v>245</v>
      </c>
      <c r="J127" s="209">
        <v>6.4550000000000001</v>
      </c>
      <c r="K127" s="112">
        <v>1</v>
      </c>
      <c r="L127" s="112">
        <v>1</v>
      </c>
      <c r="M127" s="110">
        <f>J127*K127*L127</f>
        <v>6.4550000000000001</v>
      </c>
    </row>
    <row r="128" spans="1:13" x14ac:dyDescent="0.2">
      <c r="A128" s="71"/>
      <c r="B128" s="71" t="s">
        <v>241</v>
      </c>
      <c r="C128" s="207">
        <v>3.089</v>
      </c>
      <c r="D128" s="112">
        <v>1</v>
      </c>
      <c r="E128" s="112">
        <v>1</v>
      </c>
      <c r="F128" s="110">
        <f>C128*D128*E128</f>
        <v>3.089</v>
      </c>
      <c r="H128" s="71"/>
      <c r="I128" s="71" t="s">
        <v>246</v>
      </c>
      <c r="J128" s="209">
        <v>6.4550000000000001</v>
      </c>
      <c r="K128" s="112">
        <v>1</v>
      </c>
      <c r="L128" s="112">
        <v>1</v>
      </c>
      <c r="M128" s="110">
        <f>J128*K128*L128</f>
        <v>6.4550000000000001</v>
      </c>
    </row>
    <row r="129" spans="1:13" x14ac:dyDescent="0.2">
      <c r="A129" s="71"/>
      <c r="B129" s="71" t="s">
        <v>242</v>
      </c>
      <c r="C129" s="207">
        <v>2.02</v>
      </c>
      <c r="D129" s="112">
        <v>1</v>
      </c>
      <c r="E129" s="112">
        <v>0.5</v>
      </c>
      <c r="F129" s="110">
        <f>C129*D129*E129</f>
        <v>1.01</v>
      </c>
      <c r="H129" s="71"/>
      <c r="I129" s="71" t="s">
        <v>243</v>
      </c>
      <c r="J129" s="209">
        <v>8.8130000000000006</v>
      </c>
      <c r="K129" s="112">
        <v>1</v>
      </c>
      <c r="L129" s="112">
        <v>1</v>
      </c>
      <c r="M129" s="110">
        <f>J129*K129*L129</f>
        <v>8.8130000000000006</v>
      </c>
    </row>
    <row r="130" spans="1:13" x14ac:dyDescent="0.2">
      <c r="A130" s="71"/>
      <c r="B130" s="71" t="s">
        <v>243</v>
      </c>
      <c r="C130" s="207">
        <v>8.2089999999999996</v>
      </c>
      <c r="D130" s="112">
        <v>1</v>
      </c>
      <c r="E130" s="112">
        <v>0.5</v>
      </c>
      <c r="F130" s="110">
        <f>C130*D130*E130</f>
        <v>4.1044999999999998</v>
      </c>
      <c r="H130" s="71"/>
      <c r="I130" s="71"/>
      <c r="J130" s="110"/>
      <c r="K130" s="112"/>
      <c r="L130" s="112"/>
      <c r="M130" s="110"/>
    </row>
    <row r="131" spans="1:13" x14ac:dyDescent="0.2">
      <c r="A131" s="71"/>
      <c r="B131" s="71"/>
      <c r="C131" s="71"/>
      <c r="D131" s="71" t="s">
        <v>351</v>
      </c>
      <c r="E131" s="71">
        <f>SUM(E127:E130)</f>
        <v>3</v>
      </c>
      <c r="F131" s="127">
        <f>E131/20</f>
        <v>0.15</v>
      </c>
      <c r="H131" s="71"/>
      <c r="I131" s="71"/>
      <c r="J131" s="71"/>
      <c r="K131" s="71" t="s">
        <v>351</v>
      </c>
      <c r="L131" s="123">
        <f>SUM(L127:L129)</f>
        <v>3</v>
      </c>
      <c r="M131" s="71"/>
    </row>
    <row r="132" spans="1:13" x14ac:dyDescent="0.2">
      <c r="A132" s="71"/>
      <c r="B132" s="116" t="s">
        <v>375</v>
      </c>
      <c r="C132" s="186">
        <f>SUM(F127:F130)/E131</f>
        <v>3.9764999999999997</v>
      </c>
      <c r="D132" s="186"/>
      <c r="E132" s="186"/>
      <c r="F132" s="186"/>
      <c r="H132" s="71"/>
      <c r="I132" s="116"/>
      <c r="J132" s="186">
        <f>SUM(M127:M129)/L131</f>
        <v>7.2409999999999997</v>
      </c>
      <c r="K132" s="186"/>
      <c r="L132" s="186"/>
      <c r="M132" s="186"/>
    </row>
    <row r="133" spans="1:13" ht="34" x14ac:dyDescent="0.2">
      <c r="A133" s="71"/>
      <c r="B133" s="129" t="s">
        <v>376</v>
      </c>
      <c r="C133" s="71"/>
      <c r="D133" s="71"/>
      <c r="E133" s="71"/>
      <c r="F133" s="71"/>
      <c r="H133" s="71"/>
      <c r="I133" s="128" t="s">
        <v>377</v>
      </c>
      <c r="J133" s="71"/>
      <c r="K133" s="71"/>
      <c r="L133" s="71"/>
      <c r="M133" s="71"/>
    </row>
    <row r="134" spans="1:13" x14ac:dyDescent="0.2">
      <c r="A134" s="71"/>
      <c r="B134" s="71" t="s">
        <v>248</v>
      </c>
      <c r="C134" s="209">
        <v>18.733000000000001</v>
      </c>
      <c r="D134" s="71">
        <v>1</v>
      </c>
      <c r="E134" s="71">
        <v>1</v>
      </c>
      <c r="F134" s="71">
        <f>C134*D134*E134</f>
        <v>18.733000000000001</v>
      </c>
      <c r="H134" s="71"/>
      <c r="I134" s="71" t="s">
        <v>251</v>
      </c>
      <c r="J134" s="209">
        <f>'2) Tableau des prix'!D172</f>
        <v>2.99</v>
      </c>
      <c r="K134" s="71">
        <v>1</v>
      </c>
      <c r="L134" s="71">
        <v>1</v>
      </c>
      <c r="M134" s="122">
        <f>J134*K134*L134</f>
        <v>2.99</v>
      </c>
    </row>
    <row r="135" spans="1:13" x14ac:dyDescent="0.2">
      <c r="A135" s="71"/>
      <c r="B135" s="71" t="s">
        <v>378</v>
      </c>
      <c r="C135" s="209">
        <v>14.038</v>
      </c>
      <c r="D135" s="71">
        <v>1</v>
      </c>
      <c r="E135" s="71">
        <v>1</v>
      </c>
      <c r="F135" s="71">
        <f>C135*D135*E135</f>
        <v>14.038</v>
      </c>
      <c r="H135" s="71"/>
      <c r="I135" s="71" t="s">
        <v>252</v>
      </c>
      <c r="J135" s="209">
        <f>'2) Tableau des prix'!D173</f>
        <v>2.3199999999999998</v>
      </c>
      <c r="K135" s="71">
        <v>1</v>
      </c>
      <c r="L135" s="71">
        <v>1</v>
      </c>
      <c r="M135" s="122">
        <f>J135*K135*L135</f>
        <v>2.3199999999999998</v>
      </c>
    </row>
    <row r="136" spans="1:13" x14ac:dyDescent="0.2">
      <c r="A136" s="71"/>
      <c r="B136" s="71"/>
      <c r="C136" s="71"/>
      <c r="D136" s="71" t="s">
        <v>351</v>
      </c>
      <c r="E136" s="71">
        <f>SUM(E134:E135)</f>
        <v>2</v>
      </c>
      <c r="F136" s="130">
        <f>E136/20</f>
        <v>0.1</v>
      </c>
      <c r="H136" s="71"/>
      <c r="I136" s="71"/>
      <c r="J136" s="71"/>
      <c r="K136" s="71" t="s">
        <v>351</v>
      </c>
      <c r="L136" s="71">
        <f>SUM(L132:L135)</f>
        <v>2</v>
      </c>
      <c r="M136" s="130">
        <f>(L136/20)</f>
        <v>0.1</v>
      </c>
    </row>
    <row r="137" spans="1:13" x14ac:dyDescent="0.2">
      <c r="A137" s="71"/>
      <c r="B137" s="116" t="s">
        <v>379</v>
      </c>
      <c r="C137" s="186">
        <f>SUM(F134:F135)/E136</f>
        <v>16.3855</v>
      </c>
      <c r="D137" s="186"/>
      <c r="E137" s="186"/>
      <c r="F137" s="186"/>
      <c r="H137" s="71"/>
      <c r="I137" s="116" t="s">
        <v>380</v>
      </c>
      <c r="J137" s="186">
        <f>SUM(M134:M135)/L136</f>
        <v>2.6550000000000002</v>
      </c>
      <c r="K137" s="186"/>
      <c r="L137" s="186"/>
      <c r="M137" s="186"/>
    </row>
    <row r="138" spans="1:13" x14ac:dyDescent="0.2">
      <c r="A138" s="71"/>
      <c r="B138" s="71"/>
      <c r="C138" s="71"/>
      <c r="D138" s="106" t="s">
        <v>327</v>
      </c>
      <c r="E138" s="71">
        <f>E115+E120+E131+E136</f>
        <v>20</v>
      </c>
      <c r="F138" s="71"/>
      <c r="H138" s="71"/>
      <c r="I138" s="71"/>
      <c r="J138" s="71"/>
      <c r="K138" s="106" t="s">
        <v>327</v>
      </c>
      <c r="L138" s="71">
        <f>L115+L120+L136</f>
        <v>17</v>
      </c>
      <c r="M138" s="71"/>
    </row>
    <row r="139" spans="1:13" x14ac:dyDescent="0.2">
      <c r="A139" s="71"/>
      <c r="B139" s="116" t="s">
        <v>381</v>
      </c>
      <c r="C139" s="186">
        <f>(SUM(C116+C121+C132+C137))/4</f>
        <v>6.2031704545454547</v>
      </c>
      <c r="D139" s="186"/>
      <c r="E139" s="186"/>
      <c r="F139" s="186"/>
      <c r="H139" s="71"/>
      <c r="I139" s="116"/>
      <c r="J139" s="186"/>
      <c r="K139" s="186"/>
      <c r="L139" s="186"/>
      <c r="M139" s="186"/>
    </row>
  </sheetData>
  <mergeCells count="47">
    <mergeCell ref="C137:F137"/>
    <mergeCell ref="J137:M137"/>
    <mergeCell ref="C139:F139"/>
    <mergeCell ref="J139:M139"/>
    <mergeCell ref="C121:F121"/>
    <mergeCell ref="J121:M121"/>
    <mergeCell ref="C125:F125"/>
    <mergeCell ref="J125:M125"/>
    <mergeCell ref="C132:F132"/>
    <mergeCell ref="J132:M132"/>
    <mergeCell ref="A106:F106"/>
    <mergeCell ref="H106:M106"/>
    <mergeCell ref="A107:F107"/>
    <mergeCell ref="H107:M107"/>
    <mergeCell ref="C116:F116"/>
    <mergeCell ref="J116:M116"/>
    <mergeCell ref="C104:F104"/>
    <mergeCell ref="J104:M104"/>
    <mergeCell ref="C71:F71"/>
    <mergeCell ref="J71:M71"/>
    <mergeCell ref="C83:F83"/>
    <mergeCell ref="J83:M83"/>
    <mergeCell ref="C85:F85"/>
    <mergeCell ref="J85:M85"/>
    <mergeCell ref="A87:F87"/>
    <mergeCell ref="H87:M87"/>
    <mergeCell ref="A88:F88"/>
    <mergeCell ref="C99:F99"/>
    <mergeCell ref="J99:M99"/>
    <mergeCell ref="C35:F35"/>
    <mergeCell ref="A38:F38"/>
    <mergeCell ref="H38:M38"/>
    <mergeCell ref="A39:F39"/>
    <mergeCell ref="C58:F58"/>
    <mergeCell ref="J58:M58"/>
    <mergeCell ref="A30:A33"/>
    <mergeCell ref="A1:M1"/>
    <mergeCell ref="A3:F3"/>
    <mergeCell ref="A5:F5"/>
    <mergeCell ref="A6:F6"/>
    <mergeCell ref="A9:A11"/>
    <mergeCell ref="A12:A14"/>
    <mergeCell ref="A15:A18"/>
    <mergeCell ref="A19:A21"/>
    <mergeCell ref="C23:F23"/>
    <mergeCell ref="A24:A27"/>
    <mergeCell ref="C29:F2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10744-3BAD-CD4E-B44D-C5DD3789BFDA}">
  <dimension ref="A1:U31"/>
  <sheetViews>
    <sheetView workbookViewId="0">
      <selection activeCell="C6" sqref="C6"/>
    </sheetView>
  </sheetViews>
  <sheetFormatPr baseColWidth="10" defaultColWidth="11.6640625" defaultRowHeight="16" x14ac:dyDescent="0.2"/>
  <cols>
    <col min="1" max="1" width="12.83203125" customWidth="1"/>
    <col min="2" max="2" width="30" customWidth="1"/>
    <col min="3" max="3" width="19" style="90" customWidth="1"/>
    <col min="4" max="6" width="15" style="90" customWidth="1"/>
    <col min="7" max="7" width="18.33203125" customWidth="1"/>
    <col min="8" max="8" width="6" customWidth="1"/>
    <col min="9" max="9" width="12.83203125" customWidth="1"/>
    <col min="10" max="10" width="26.83203125" customWidth="1"/>
    <col min="11" max="15" width="15.33203125" customWidth="1"/>
  </cols>
  <sheetData>
    <row r="1" spans="1:21" ht="33" x14ac:dyDescent="0.35">
      <c r="A1" s="151" t="s">
        <v>271</v>
      </c>
      <c r="B1" s="151"/>
      <c r="C1" s="151"/>
      <c r="D1" s="151"/>
      <c r="E1" s="151"/>
      <c r="F1" s="151"/>
      <c r="G1" s="151"/>
      <c r="H1" s="151"/>
      <c r="I1" s="151"/>
      <c r="J1" s="151"/>
      <c r="K1" s="151"/>
      <c r="L1" s="151"/>
      <c r="M1" s="151"/>
      <c r="N1" s="151"/>
      <c r="O1" s="151"/>
    </row>
    <row r="3" spans="1:21" ht="18" x14ac:dyDescent="0.2">
      <c r="A3" s="153" t="s">
        <v>53</v>
      </c>
      <c r="B3" s="153"/>
      <c r="C3" s="153"/>
      <c r="D3" s="153"/>
      <c r="E3" s="153"/>
      <c r="F3" s="153"/>
      <c r="G3" s="153"/>
      <c r="I3" s="158" t="s">
        <v>54</v>
      </c>
      <c r="J3" s="158"/>
      <c r="K3" s="158"/>
      <c r="L3" s="158"/>
      <c r="M3" s="158"/>
      <c r="N3" s="158"/>
      <c r="O3" s="158"/>
    </row>
    <row r="4" spans="1:21" x14ac:dyDescent="0.2">
      <c r="K4" s="90"/>
      <c r="L4" s="90"/>
      <c r="M4" s="90"/>
      <c r="N4" s="90"/>
    </row>
    <row r="5" spans="1:21" x14ac:dyDescent="0.2">
      <c r="A5" s="11"/>
      <c r="B5" s="11"/>
      <c r="C5" s="12" t="s">
        <v>17</v>
      </c>
      <c r="D5" s="12" t="s">
        <v>272</v>
      </c>
      <c r="E5" s="12" t="s">
        <v>273</v>
      </c>
      <c r="F5" s="12" t="s">
        <v>274</v>
      </c>
      <c r="G5" s="12" t="s">
        <v>21</v>
      </c>
      <c r="I5" s="11"/>
      <c r="J5" s="11"/>
      <c r="K5" s="12" t="s">
        <v>17</v>
      </c>
      <c r="L5" s="12" t="s">
        <v>272</v>
      </c>
      <c r="M5" s="12" t="s">
        <v>273</v>
      </c>
      <c r="N5" s="12" t="s">
        <v>274</v>
      </c>
      <c r="O5" s="12" t="s">
        <v>21</v>
      </c>
    </row>
    <row r="6" spans="1:21" x14ac:dyDescent="0.2">
      <c r="A6" s="11" t="s">
        <v>30</v>
      </c>
      <c r="B6" s="11" t="s">
        <v>275</v>
      </c>
      <c r="C6" s="70">
        <f>'1) Feuille d''encodage'!D20*(('Moyennes et calculs'!B17*'1) Feuille d''encodage'!C80)+('Moyennes et calculs'!B16*(1-'1) Feuille d''encodage'!C80)))</f>
        <v>0.17262183</v>
      </c>
      <c r="D6" s="70">
        <f>'1) Feuille d''encodage'!E20*(('Moyennes et calculs'!B17*'1) Feuille d''encodage'!C80)+('Moyennes et calculs'!B16)*(1-'1) Feuille d''encodage'!C80))</f>
        <v>0.17262183</v>
      </c>
      <c r="E6" s="70">
        <f>('1) Feuille d''encodage'!F20*(('Moyennes et calculs'!B17*'1) Feuille d''encodage'!C80)+('Moyennes et calculs'!B16*(1-'1) Feuille d''encodage'!C80))))</f>
        <v>0.23016244000000005</v>
      </c>
      <c r="F6" s="70">
        <f>'1) Feuille d''encodage'!G20*(('Moyennes et calculs'!B17*'1) Feuille d''encodage'!C80)+('Moyennes et calculs'!B16*(1-'1) Feuille d''encodage'!C80)))</f>
        <v>0.28770305000000002</v>
      </c>
      <c r="G6" s="70">
        <f>'1) Feuille d''encodage'!H20*((('Moyennes et calculs'!B17*'1) Feuille d''encodage'!C80))+('Moyennes et calculs'!B16*(1-'1) Feuille d''encodage'!C80)))</f>
        <v>0</v>
      </c>
      <c r="I6" s="11" t="s">
        <v>30</v>
      </c>
      <c r="J6" s="11" t="s">
        <v>275</v>
      </c>
      <c r="K6" s="70">
        <f>'1) Feuille d''encodage'!D38*(('Moyennes et calculs'!B17*'1) Feuille d''encodage'!G80)+('Moyennes et calculs'!B16*(1-'1) Feuille d''encodage'!G80)))</f>
        <v>0.17262183</v>
      </c>
      <c r="L6" s="70">
        <f>'1) Feuille d''encodage'!E38*(('Moyennes et calculs'!B17*'1) Feuille d''encodage'!G80)+('Moyennes et calculs'!B16)*(1-'1) Feuille d''encodage'!G80))</f>
        <v>0.17262183</v>
      </c>
      <c r="M6" s="70">
        <f>('1) Feuille d''encodage'!F38*(('Moyennes et calculs'!B17*'1) Feuille d''encodage'!G80)+('Moyennes et calculs'!B16*(1-'1) Feuille d''encodage'!G80))))</f>
        <v>0.23016244000000005</v>
      </c>
      <c r="N6" s="70">
        <f>'1) Feuille d''encodage'!G38*(('Moyennes et calculs'!B17*'1) Feuille d''encodage'!G80)+('Moyennes et calculs'!B16*(1-'1) Feuille d''encodage'!G80)))</f>
        <v>0.28770305000000002</v>
      </c>
      <c r="O6" s="70">
        <f>'1) Feuille d''encodage'!H38*((('Moyennes et calculs'!L17*'1) Feuille d''encodage'!G80))+('Moyennes et calculs'!L16*(1-'1) Feuille d''encodage'!G80)))</f>
        <v>0</v>
      </c>
    </row>
    <row r="7" spans="1:21" x14ac:dyDescent="0.2">
      <c r="A7" s="191" t="s">
        <v>276</v>
      </c>
      <c r="B7" s="11" t="s">
        <v>22</v>
      </c>
      <c r="C7" s="70">
        <f>'1) Feuille d''encodage'!D15*(('Moyennes et calculs'!B6*'1) Feuille d''encodage'!M84)+('Moyennes et calculs'!B7*'1) Feuille d''encodage'!M85)+('Moyennes et calculs'!B8*'1) Feuille d''encodage'!M83))</f>
        <v>0.36339201538461535</v>
      </c>
      <c r="D7" s="70">
        <f>'1) Feuille d''encodage'!E15*(('Moyennes et calculs'!B6*'1) Feuille d''encodage'!M84)+('Moyennes et calculs'!B7*'1) Feuille d''encodage'!M85)+('Moyennes et calculs'!B8*'1) Feuille d''encodage'!M83))</f>
        <v>0.36339201538461535</v>
      </c>
      <c r="E7" s="70">
        <f>'1) Feuille d''encodage'!F15*(('Moyennes et calculs'!B6*'1) Feuille d''encodage'!M84)+('Moyennes et calculs'!B7*'1) Feuille d''encodage'!M85)+('Moyennes et calculs'!B8*'1) Feuille d''encodage'!M83))</f>
        <v>0.90848003846153835</v>
      </c>
      <c r="F7" s="70">
        <f>'1) Feuille d''encodage'!G15*(('Moyennes et calculs'!B6*'1) Feuille d''encodage'!M84)+('Moyennes et calculs'!B7*'1) Feuille d''encodage'!M85)+('Moyennes et calculs'!B8*'1) Feuille d''encodage'!M83))</f>
        <v>1.695829405128205</v>
      </c>
      <c r="G7" s="70">
        <f>'1) Feuille d''encodage'!H15*(('Moyennes et calculs'!B6*'1) Feuille d''encodage'!M84)+('Moyennes et calculs'!B7*'1) Feuille d''encodage'!M85)+('Moyennes et calculs'!B8*'1) Feuille d''encodage'!M83))</f>
        <v>0</v>
      </c>
      <c r="I7" s="191" t="s">
        <v>276</v>
      </c>
      <c r="J7" s="11" t="s">
        <v>22</v>
      </c>
      <c r="K7" s="70">
        <f>'1) Feuille d''encodage'!D33*(('Moyennes et calculs'!B6*'1) Feuille d''encodage'!N84)+('Moyennes et calculs'!B7*'1) Feuille d''encodage'!N85)+('Moyennes et calculs'!B8*'1) Feuille d''encodage'!N83))</f>
        <v>0.36339201538461535</v>
      </c>
      <c r="L7" s="70">
        <f>'1) Feuille d''encodage'!E33*(('Moyennes et calculs'!B6*'1) Feuille d''encodage'!N84)+('Moyennes et calculs'!B7*'1) Feuille d''encodage'!N85)+('Moyennes et calculs'!B8*'1) Feuille d''encodage'!N83))</f>
        <v>0.36339201538461535</v>
      </c>
      <c r="M7" s="70">
        <f>'1) Feuille d''encodage'!F33*(('Moyennes et calculs'!B6*'1) Feuille d''encodage'!N84)+('Moyennes et calculs'!B7*'1) Feuille d''encodage'!N85)+('Moyennes et calculs'!B8*'1) Feuille d''encodage'!N83))</f>
        <v>0.90848003846153835</v>
      </c>
      <c r="N7" s="70">
        <f>'1) Feuille d''encodage'!G33*(('Moyennes et calculs'!B6*'1) Feuille d''encodage'!N84)+('Moyennes et calculs'!B7*'1) Feuille d''encodage'!N85)+('Moyennes et calculs'!B8*'1) Feuille d''encodage'!N83))</f>
        <v>1.695829405128205</v>
      </c>
      <c r="O7" s="70">
        <f>'1) Feuille d''encodage'!H33*(('Moyennes et calculs'!B6*'1) Feuille d''encodage'!N84)+('Moyennes et calculs'!B7*'1) Feuille d''encodage'!N85)+('Moyennes et calculs'!B8*'1) Feuille d''encodage'!N83))</f>
        <v>0</v>
      </c>
    </row>
    <row r="8" spans="1:21" x14ac:dyDescent="0.2">
      <c r="A8" s="191"/>
      <c r="B8" s="11" t="s">
        <v>277</v>
      </c>
      <c r="C8" s="70">
        <f>'1) Feuille d''encodage'!D16*(('Moyennes et calculs'!B24*'1) Feuille d''encodage'!C88)+('Moyennes et calculs'!B22*(1-'1) Feuille d''encodage'!C88)))</f>
        <v>7.939874999999999E-2</v>
      </c>
      <c r="D8" s="70">
        <f>'1) Feuille d''encodage'!E16*(('Moyennes et calculs'!B24*'1) Feuille d''encodage'!C88)+('Moyennes et calculs'!B22*(1-'1) Feuille d''encodage'!C88)))</f>
        <v>0.10586499999999999</v>
      </c>
      <c r="E8" s="70">
        <f>'1) Feuille d''encodage'!F16*(('Moyennes et calculs'!B24*'1) Feuille d''encodage'!C88)+('Moyennes et calculs'!B22*(1-'1) Feuille d''encodage'!C88)))</f>
        <v>0.13233124999999998</v>
      </c>
      <c r="F8" s="70">
        <f>'1) Feuille d''encodage'!G16*(('Moyennes et calculs'!B24*'1) Feuille d''encodage'!C88)+('Moyennes et calculs'!B22*(1-'1) Feuille d''encodage'!C88)))</f>
        <v>0.15879749999999998</v>
      </c>
      <c r="G8" s="70">
        <f>'1) Feuille d''encodage'!H16*((('Moyennes et calculs'!B24*'1) Feuille d''encodage'!C88))+('Moyennes et calculs'!B22*(1-'1) Feuille d''encodage'!C88)))</f>
        <v>0</v>
      </c>
      <c r="I8" s="191"/>
      <c r="J8" s="11" t="s">
        <v>277</v>
      </c>
      <c r="K8" s="70">
        <f>'1) Feuille d''encodage'!D34*(('Moyennes et calculs'!B24*'1) Feuille d''encodage'!G88)+('Moyennes et calculs'!B22*(1-'1) Feuille d''encodage'!G88)))</f>
        <v>7.939874999999999E-2</v>
      </c>
      <c r="L8" s="70">
        <f>'1) Feuille d''encodage'!E34*(('Moyennes et calculs'!B24*'1) Feuille d''encodage'!G88)+('Moyennes et calculs'!B22*(1-'1) Feuille d''encodage'!G88)))</f>
        <v>0.10586499999999999</v>
      </c>
      <c r="M8" s="70">
        <f>'1) Feuille d''encodage'!F34*(('Moyennes et calculs'!B24*'1) Feuille d''encodage'!G88)+('Moyennes et calculs'!B22*(1-'1) Feuille d''encodage'!G88)))</f>
        <v>0.13233124999999998</v>
      </c>
      <c r="N8" s="70">
        <f>'1) Feuille d''encodage'!G34*(('Moyennes et calculs'!B24*'1) Feuille d''encodage'!G88)+('Moyennes et calculs'!B22*(1-'1) Feuille d''encodage'!G88)))</f>
        <v>0.15879749999999998</v>
      </c>
      <c r="O8" s="70">
        <f>'1) Feuille d''encodage'!H34*((('Moyennes et calculs'!B24*'1) Feuille d''encodage'!G88))+('Moyennes et calculs'!B22*(1-'1) Feuille d''encodage'!G88)))</f>
        <v>0</v>
      </c>
    </row>
    <row r="9" spans="1:21" x14ac:dyDescent="0.2">
      <c r="A9" s="191"/>
      <c r="B9" s="11" t="s">
        <v>278</v>
      </c>
      <c r="C9" s="70">
        <f>('1) Feuille d''encodage'!D17)*(('Moyennes et calculs'!B25*'1) Feuille d''encodage'!C89)+('Moyennes et calculs'!B23*(1-'1) Feuille d''encodage'!C89)))</f>
        <v>0.22587499999999996</v>
      </c>
      <c r="D9" s="70">
        <f>'1) Feuille d''encodage'!E17*(('Moyennes et calculs'!B25*'1) Feuille d''encodage'!C89)+('Moyennes et calculs'!B23*(1-'1) Feuille d''encodage'!C89)))</f>
        <v>0.22587499999999996</v>
      </c>
      <c r="E9" s="70">
        <f>'1) Feuille d''encodage'!F17*(('Moyennes et calculs'!B25*'1) Feuille d''encodage'!C89)+('Moyennes et calculs'!B23*(1-'1) Feuille d''encodage'!C89)))</f>
        <v>0.36139999999999994</v>
      </c>
      <c r="F9" s="70">
        <f>'1) Feuille d''encodage'!G17*(('Moyennes et calculs'!B25*'1) Feuille d''encodage'!C89)+('Moyennes et calculs'!B23*(1-'1) Feuille d''encodage'!C89)))</f>
        <v>0.45174999999999993</v>
      </c>
      <c r="G9" s="70">
        <f>'1) Feuille d''encodage'!H17*(('Moyennes et calculs'!B25*'1) Feuille d''encodage'!C89)+('Moyennes et calculs'!B23*(1-'1) Feuille d''encodage'!C89)))</f>
        <v>0</v>
      </c>
      <c r="I9" s="191"/>
      <c r="J9" s="11" t="s">
        <v>278</v>
      </c>
      <c r="K9" s="70">
        <f>('1) Feuille d''encodage'!D35)*(('Moyennes et calculs'!B25*'1) Feuille d''encodage'!G89)+('Moyennes et calculs'!B23*(1-'1) Feuille d''encodage'!G89)))</f>
        <v>0.22587499999999996</v>
      </c>
      <c r="L9" s="70">
        <f>'1) Feuille d''encodage'!E35*(('Moyennes et calculs'!B25*'1) Feuille d''encodage'!G89)+('Moyennes et calculs'!B23*(1-'1) Feuille d''encodage'!G89)))</f>
        <v>0.22587499999999996</v>
      </c>
      <c r="M9" s="70">
        <f>'1) Feuille d''encodage'!F35*(('Moyennes et calculs'!B25*'1) Feuille d''encodage'!G89)+('Moyennes et calculs'!B23*(1-'1) Feuille d''encodage'!G89)))</f>
        <v>0.36139999999999994</v>
      </c>
      <c r="N9" s="70">
        <f>'1) Feuille d''encodage'!G35*(('Moyennes et calculs'!B25*'1) Feuille d''encodage'!G89)+('Moyennes et calculs'!B23*(1-'1) Feuille d''encodage'!G89)))</f>
        <v>0.45174999999999993</v>
      </c>
      <c r="O9" s="70">
        <f>'1) Feuille d''encodage'!H35*(('Moyennes et calculs'!B25*'1) Feuille d''encodage'!G89)+('Moyennes et calculs'!B23*(1-'1) Feuille d''encodage'!G89)))</f>
        <v>0</v>
      </c>
    </row>
    <row r="10" spans="1:21" x14ac:dyDescent="0.2">
      <c r="A10" s="191"/>
      <c r="B10" s="11" t="s">
        <v>33</v>
      </c>
      <c r="C10" s="70">
        <f>'1) Feuille d''encodage'!D21*'Moyennes et calculs'!H41</f>
        <v>0.31912499999999999</v>
      </c>
      <c r="D10" s="70">
        <f>'1) Feuille d''encodage'!E21*'Moyennes et calculs'!H41</f>
        <v>0.31912499999999999</v>
      </c>
      <c r="E10" s="70">
        <f>'1) Feuille d''encodage'!F21*'Moyennes et calculs'!H41</f>
        <v>0.38294999999999996</v>
      </c>
      <c r="F10" s="70">
        <f>'1) Feuille d''encodage'!G21*'Moyennes et calculs'!H41</f>
        <v>0.63824999999999998</v>
      </c>
      <c r="G10" s="70">
        <f>'1) Feuille d''encodage'!H21*'Moyennes et calculs'!B41</f>
        <v>0</v>
      </c>
      <c r="I10" s="191"/>
      <c r="J10" s="11" t="s">
        <v>33</v>
      </c>
      <c r="K10" s="70">
        <f>'1) Feuille d''encodage'!D39*'Moyennes et calculs'!H48</f>
        <v>0.31912499999999999</v>
      </c>
      <c r="L10" s="70">
        <f>'1) Feuille d''encodage'!E39*'Moyennes et calculs'!H48</f>
        <v>0.31912499999999999</v>
      </c>
      <c r="M10" s="70">
        <f>'1) Feuille d''encodage'!F39*'Moyennes et calculs'!H48</f>
        <v>0.38294999999999996</v>
      </c>
      <c r="N10" s="70">
        <f>'1) Feuille d''encodage'!G39*'Moyennes et calculs'!H48</f>
        <v>0.63824999999999998</v>
      </c>
      <c r="O10" s="70">
        <f>'1) Feuille d''encodage'!H40*'Moyennes et calculs'!B48</f>
        <v>0</v>
      </c>
      <c r="U10" s="92"/>
    </row>
    <row r="11" spans="1:21" x14ac:dyDescent="0.2">
      <c r="A11" s="191" t="s">
        <v>279</v>
      </c>
      <c r="B11" s="11" t="s">
        <v>280</v>
      </c>
      <c r="C11" s="93">
        <f>('1) Feuille d''encodage'!D23*(('Moyennes et calculs'!B31*'1) Feuille d''encodage'!C104)+('Moyennes et calculs'!B29*(1-'1) Feuille d''encodage'!C104))))*'1) Feuille d''encodage'!M96</f>
        <v>0.20527500000000001</v>
      </c>
      <c r="D11" s="93">
        <f>('1) Feuille d''encodage'!E23*(('Moyennes et calculs'!B31*'1) Feuille d''encodage'!C104)+('Moyennes et calculs'!B29*(1-'1) Feuille d''encodage'!C104))))*'1) Feuille d''encodage'!M96</f>
        <v>0.13685000000000003</v>
      </c>
      <c r="E11" s="93">
        <f>('1) Feuille d''encodage'!F23*(('Moyennes et calculs'!B31*'1) Feuille d''encodage'!C104)+('Moyennes et calculs'!B29*(1-'1) Feuille d''encodage'!C104))))*'1) Feuille d''encodage'!M96</f>
        <v>0.19159000000000004</v>
      </c>
      <c r="F11" s="93">
        <f>('1) Feuille d''encodage'!G23*(('Moyennes et calculs'!B31*'1) Feuille d''encodage'!C104)+('Moyennes et calculs'!B29*(1-'1) Feuille d''encodage'!C104))))*'1) Feuille d''encodage'!M96</f>
        <v>0.19159000000000004</v>
      </c>
      <c r="G11" s="70">
        <f>'1) Feuille d''encodage'!H23*(('Moyennes et calculs'!B31*'1) Feuille d''encodage'!C104)+('Moyennes et calculs'!B29*(1-'1) Feuille d''encodage'!C104)))*'1) Feuille d''encodage'!M96</f>
        <v>0</v>
      </c>
      <c r="I11" s="191" t="s">
        <v>279</v>
      </c>
      <c r="J11" s="11" t="s">
        <v>280</v>
      </c>
      <c r="K11" s="93">
        <f>('1) Feuille d''encodage'!D41*(('Moyennes et calculs'!B31*'1) Feuille d''encodage'!G104)+('Moyennes et calculs'!B29*(1-'1) Feuille d''encodage'!G104))))*'1) Feuille d''encodage'!N96</f>
        <v>0.20527500000000001</v>
      </c>
      <c r="L11" s="93">
        <f>('1) Feuille d''encodage'!E41*(('Moyennes et calculs'!B31*'1) Feuille d''encodage'!G104)+('Moyennes et calculs'!B29*(1-'1) Feuille d''encodage'!G104))))*'1) Feuille d''encodage'!N96</f>
        <v>0.13685000000000003</v>
      </c>
      <c r="M11" s="93">
        <f>('1) Feuille d''encodage'!F41*(('Moyennes et calculs'!B31*'1) Feuille d''encodage'!G104)+('Moyennes et calculs'!B29*(1-'1) Feuille d''encodage'!G104))))*'1) Feuille d''encodage'!N96</f>
        <v>0.19159000000000004</v>
      </c>
      <c r="N11" s="93">
        <f>('1) Feuille d''encodage'!G41*(('Moyennes et calculs'!B31*'1) Feuille d''encodage'!G104)+('Moyennes et calculs'!B29*(1-'1) Feuille d''encodage'!G104))))*'1) Feuille d''encodage'!N96</f>
        <v>0.19159000000000004</v>
      </c>
      <c r="O11" s="70">
        <f>'1) Feuille d''encodage'!H41*(('Moyennes et calculs'!B31*'1) Feuille d''encodage'!G104)+('Moyennes et calculs'!B29*(1-'1) Feuille d''encodage'!G104)))*'1) Feuille d''encodage'!N96</f>
        <v>0</v>
      </c>
    </row>
    <row r="12" spans="1:21" x14ac:dyDescent="0.2">
      <c r="A12" s="191"/>
      <c r="B12" s="11" t="s">
        <v>281</v>
      </c>
      <c r="C12" s="93">
        <f>('1) Feuille d''encodage'!D59*(('Moyennes et calculs'!B32*'1) Feuille d''encodage'!C105)+('Moyennes et calculs'!B30*(1-'1) Feuille d''encodage'!C105))))*'1) Feuille d''encodage'!M97</f>
        <v>4.9062500000000002E-2</v>
      </c>
      <c r="D12" s="93">
        <f>('1) Feuille d''encodage'!E59*(('Moyennes et calculs'!B32*'1) Feuille d''encodage'!C105)+('Moyennes et calculs'!B30*(1-'1) Feuille d''encodage'!C105))))*'1) Feuille d''encodage'!M97</f>
        <v>3.9250000000000007E-2</v>
      </c>
      <c r="E12" s="93">
        <f>(('1) Feuille d''encodage'!F59*((B32*'1) Feuille d''encodage'!C105)+('Moyennes et calculs'!B30*(1-'1) Feuille d''encodage'!C105))))*'1) Feuille d''encodage'!M97)</f>
        <v>4.9062500000000002E-2</v>
      </c>
      <c r="F12" s="93">
        <f>(('1) Feuille d''encodage'!G59*(('Moyennes et calculs'!B32*'1) Feuille d''encodage'!C105)+('Moyennes et calculs'!B30*(1-'1) Feuille d''encodage'!C105))))*'1) Feuille d''encodage'!M97)</f>
        <v>4.9062500000000002E-2</v>
      </c>
      <c r="G12" s="70">
        <f>'1) Feuille d''encodage'!H59*((('Moyennes et calculs'!B32*'1) Feuille d''encodage'!C105)+('Moyennes et calculs'!B30*(1-'1) Feuille d''encodage'!C105)))*'1) Feuille d''encodage'!M97)</f>
        <v>0</v>
      </c>
      <c r="I12" s="191"/>
      <c r="J12" s="11" t="s">
        <v>281</v>
      </c>
      <c r="K12" s="93">
        <f>('1) Feuille d''encodage'!D42*(('Moyennes et calculs'!B32*'1) Feuille d''encodage'!G105)+('Moyennes et calculs'!B30*(1-'1) Feuille d''encodage'!G105))))*'1) Feuille d''encodage'!N97</f>
        <v>4.9062500000000002E-2</v>
      </c>
      <c r="L12" s="93">
        <f>('1) Feuille d''encodage'!E42*(('Moyennes et calculs'!B32*'1) Feuille d''encodage'!G105)+('Moyennes et calculs'!B30*(1-'1) Feuille d''encodage'!G105))))*'1) Feuille d''encodage'!N97</f>
        <v>3.9250000000000007E-2</v>
      </c>
      <c r="M12" s="93">
        <f>(('1) Feuille d''encodage'!F42*(('Moyennes et calculs'!B32*'1) Feuille d''encodage'!G105)+('Moyennes et calculs'!B30*(1-'1) Feuille d''encodage'!G105))))*'1) Feuille d''encodage'!N97)</f>
        <v>4.9062500000000002E-2</v>
      </c>
      <c r="N12" s="93">
        <f>(('1) Feuille d''encodage'!G42*(('Moyennes et calculs'!B32*'1) Feuille d''encodage'!G105)+('Moyennes et calculs'!B30*(1-'1) Feuille d''encodage'!G105))))*'1) Feuille d''encodage'!N97)</f>
        <v>4.9062500000000002E-2</v>
      </c>
      <c r="O12" s="70">
        <f>'1) Feuille d''encodage'!H42*((('Moyennes et calculs'!B32*'1) Feuille d''encodage'!G105)+('Moyennes et calculs'!B30*(1-'1) Feuille d''encodage'!G105)))*'1) Feuille d''encodage'!N97)</f>
        <v>0</v>
      </c>
    </row>
    <row r="13" spans="1:21" x14ac:dyDescent="0.2">
      <c r="A13" s="191"/>
      <c r="B13" s="11" t="s">
        <v>282</v>
      </c>
      <c r="C13" s="93">
        <f>('1) Feuille d''encodage'!D24*'Moyennes et calculs'!B35*'1) Feuille d''encodage'!M98)</f>
        <v>0</v>
      </c>
      <c r="D13" s="93">
        <f>'1) Feuille d''encodage'!E24*'Moyennes et calculs'!B34*'1) Feuille d''encodage'!M98</f>
        <v>0</v>
      </c>
      <c r="E13" s="93">
        <f>'1) Feuille d''encodage'!F59*'Moyennes et calculs'!B34*'1) Feuille d''encodage'!M98</f>
        <v>0</v>
      </c>
      <c r="F13" s="93">
        <f>'1) Feuille d''encodage'!G24*'Moyennes et calculs'!B34*'1) Feuille d''encodage'!M98</f>
        <v>0</v>
      </c>
      <c r="G13" s="70">
        <f>'1) Feuille d''encodage'!H59*'Moyennes et calculs'!B34*'1) Feuille d''encodage'!M98</f>
        <v>0</v>
      </c>
      <c r="I13" s="191"/>
      <c r="J13" s="11" t="s">
        <v>282</v>
      </c>
      <c r="K13" s="93">
        <f>('1) Feuille d''encodage'!D42*'Moyennes et calculs'!B34*'1) Feuille d''encodage'!N98)</f>
        <v>0</v>
      </c>
      <c r="L13" s="93">
        <f>'1) Feuille d''encodage'!E42*'Moyennes et calculs'!B34*'1) Feuille d''encodage'!N98</f>
        <v>0</v>
      </c>
      <c r="M13" s="93">
        <f>'1) Feuille d''encodage'!F42*'Moyennes et calculs'!B34*'1) Feuille d''encodage'!N98</f>
        <v>0</v>
      </c>
      <c r="N13" s="93">
        <f>'1) Feuille d''encodage'!G42*'Moyennes et calculs'!B34*'1) Feuille d''encodage'!N98</f>
        <v>0</v>
      </c>
      <c r="O13" s="70">
        <f>'1) Feuille d''encodage'!H42*'Moyennes et calculs'!B34*'1) Feuille d''encodage'!N98</f>
        <v>0</v>
      </c>
    </row>
    <row r="14" spans="1:21" x14ac:dyDescent="0.2">
      <c r="A14" s="191"/>
      <c r="B14" s="11" t="s">
        <v>283</v>
      </c>
      <c r="C14" s="93">
        <f>'1) Feuille d''encodage'!D24*'Moyennes et calculs'!B33*'1) Feuille d''encodage'!M99</f>
        <v>0</v>
      </c>
      <c r="D14" s="93">
        <f>'1) Feuille d''encodage'!E24*'Moyennes et calculs'!B33*'1) Feuille d''encodage'!M99</f>
        <v>0</v>
      </c>
      <c r="E14" s="93">
        <f>'1) Feuille d''encodage'!F24*'Moyennes et calculs'!B33*'1) Feuille d''encodage'!M99</f>
        <v>0</v>
      </c>
      <c r="F14" s="93">
        <f>'1) Feuille d''encodage'!G24*'Moyennes et calculs'!B33*'1) Feuille d''encodage'!M99</f>
        <v>0</v>
      </c>
      <c r="G14" s="70">
        <f>'1) Feuille d''encodage'!H24*'Moyennes et calculs'!B33*'1) Feuille d''encodage'!M99</f>
        <v>0</v>
      </c>
      <c r="I14" s="191"/>
      <c r="J14" s="11" t="s">
        <v>283</v>
      </c>
      <c r="K14" s="93">
        <f>'1) Feuille d''encodage'!D42*'Moyennes et calculs'!B33*'1) Feuille d''encodage'!N99</f>
        <v>0</v>
      </c>
      <c r="L14" s="93">
        <f>'1) Feuille d''encodage'!E42*'Moyennes et calculs'!B33*'1) Feuille d''encodage'!N99</f>
        <v>0</v>
      </c>
      <c r="M14" s="93">
        <f>'1) Feuille d''encodage'!F42*'Moyennes et calculs'!B33*'1) Feuille d''encodage'!N99</f>
        <v>0</v>
      </c>
      <c r="N14" s="93">
        <f>'1) Feuille d''encodage'!G42*'Moyennes et calculs'!B33*'1) Feuille d''encodage'!N99</f>
        <v>0</v>
      </c>
      <c r="O14" s="70">
        <f>'1) Feuille d''encodage'!H42*'Moyennes et calculs'!B33*'1) Feuille d''encodage'!N99</f>
        <v>0</v>
      </c>
    </row>
    <row r="15" spans="1:21" x14ac:dyDescent="0.2">
      <c r="A15" s="191"/>
      <c r="B15" s="11" t="s">
        <v>38</v>
      </c>
      <c r="C15" s="93">
        <f>(('1) Feuille d''encodage'!D25*'Moyennes et calculs'!B35))*'1) Feuille d''encodage'!M100</f>
        <v>5.9647499999999999E-2</v>
      </c>
      <c r="D15" s="93">
        <f>('1) Feuille d''encodage'!E25*'Moyennes et calculs'!B35)*'1) Feuille d''encodage'!M100</f>
        <v>7.4559374999999997E-2</v>
      </c>
      <c r="E15" s="93">
        <f>('1) Feuille d''encodage'!F25*'Moyennes et calculs'!B35)*'1) Feuille d''encodage'!M100</f>
        <v>7.4559374999999997E-2</v>
      </c>
      <c r="F15" s="93">
        <f>('1) Feuille d''encodage'!G25*'Moyennes et calculs'!B35)*'1) Feuille d''encodage'!M100</f>
        <v>7.4559374999999997E-2</v>
      </c>
      <c r="G15" s="70">
        <f>'1) Feuille d''encodage'!H25*'Moyennes et calculs'!B35*'1) Feuille d''encodage'!M100</f>
        <v>0</v>
      </c>
      <c r="I15" s="191"/>
      <c r="J15" s="11" t="s">
        <v>38</v>
      </c>
      <c r="K15" s="93">
        <f>(('1) Feuille d''encodage'!D43*'Moyennes et calculs'!B35))*'1) Feuille d''encodage'!N100</f>
        <v>5.9647499999999999E-2</v>
      </c>
      <c r="L15" s="93">
        <f>('1) Feuille d''encodage'!E43*'Moyennes et calculs'!B35)*'1) Feuille d''encodage'!N100</f>
        <v>7.4559374999999997E-2</v>
      </c>
      <c r="M15" s="93">
        <f>('1) Feuille d''encodage'!F43*'Moyennes et calculs'!B35)*'1) Feuille d''encodage'!N100</f>
        <v>7.4559374999999997E-2</v>
      </c>
      <c r="N15" s="93">
        <f>('1) Feuille d''encodage'!G43*'Moyennes et calculs'!B35)*'1) Feuille d''encodage'!N100</f>
        <v>7.4559374999999997E-2</v>
      </c>
      <c r="O15" s="70">
        <f>'1) Feuille d''encodage'!H43*'Moyennes et calculs'!B35*'1) Feuille d''encodage'!N100</f>
        <v>0</v>
      </c>
    </row>
    <row r="16" spans="1:21" x14ac:dyDescent="0.2">
      <c r="A16" s="191"/>
      <c r="B16" s="11" t="s">
        <v>284</v>
      </c>
      <c r="C16" s="93">
        <f>('1) Feuille d''encodage'!D26*'Moyennes et calculs'!B37)*'1) Feuille d''encodage'!M101</f>
        <v>0</v>
      </c>
      <c r="D16" s="93">
        <f>('1) Feuille d''encodage'!E26*'Moyennes et calculs'!B37)*'1) Feuille d''encodage'!M101</f>
        <v>1.6385500000000001E-2</v>
      </c>
      <c r="E16" s="93">
        <f>('1) Feuille d''encodage'!F26*'Moyennes et calculs'!B37)*'1) Feuille d''encodage'!M101</f>
        <v>8.1927500000000014E-2</v>
      </c>
      <c r="F16" s="93">
        <f>('1) Feuille d''encodage'!G61*'Moyennes et calculs'!B37)*'1) Feuille d''encodage'!M101</f>
        <v>8.1927500000000014E-2</v>
      </c>
      <c r="G16" s="70">
        <f>'1) Feuille d''encodage'!H61*'Moyennes et calculs'!B37*'1) Feuille d''encodage'!M101</f>
        <v>0</v>
      </c>
      <c r="I16" s="191"/>
      <c r="J16" s="11" t="s">
        <v>284</v>
      </c>
      <c r="K16" s="93">
        <f>('1) Feuille d''encodage'!D44*'Moyennes et calculs'!B37)*'1) Feuille d''encodage'!N101</f>
        <v>0</v>
      </c>
      <c r="L16" s="93">
        <f>('1) Feuille d''encodage'!E44*'Moyennes et calculs'!B37)*'1) Feuille d''encodage'!N101</f>
        <v>1.6385500000000001E-2</v>
      </c>
      <c r="M16" s="93">
        <f>('1) Feuille d''encodage'!F44*'Moyennes et calculs'!B37)*'1) Feuille d''encodage'!N101</f>
        <v>8.1927500000000014E-2</v>
      </c>
      <c r="N16" s="93">
        <f>('1) Feuille d''encodage'!G44*'Moyennes et calculs'!B37)*'1) Feuille d''encodage'!N101</f>
        <v>8.1927500000000014E-2</v>
      </c>
      <c r="O16" s="70">
        <f>'1) Feuille d''encodage'!H44*'Moyennes et calculs'!B37*'1) Feuille d''encodage'!N101</f>
        <v>0</v>
      </c>
    </row>
    <row r="17" spans="1:20" x14ac:dyDescent="0.2">
      <c r="A17" s="191"/>
      <c r="B17" s="11" t="s">
        <v>285</v>
      </c>
      <c r="C17" s="93">
        <f>'1) Feuille d''encodage'!D61*'Moyennes et calculs'!B38*'1) Feuille d''encodage'!M102</f>
        <v>0</v>
      </c>
      <c r="D17" s="93">
        <f>'1) Feuille d''encodage'!E61*'Moyennes et calculs'!B38*'1) Feuille d''encodage'!M102</f>
        <v>0</v>
      </c>
      <c r="E17" s="93">
        <f>'1) Feuille d''encodage'!F61*'Moyennes et calculs'!B38*'1) Feuille d''encodage'!M102</f>
        <v>0</v>
      </c>
      <c r="F17" s="93">
        <f>'1) Feuille d''encodage'!G26*'Moyennes et calculs'!B38*'1) Feuille d''encodage'!M102</f>
        <v>0</v>
      </c>
      <c r="G17" s="70">
        <f>'1) Feuille d''encodage'!H26*'Moyennes et calculs'!B38*'1) Feuille d''encodage'!M102</f>
        <v>0</v>
      </c>
      <c r="I17" s="191"/>
      <c r="J17" s="11" t="s">
        <v>285</v>
      </c>
      <c r="K17" s="93">
        <f>'1) Feuille d''encodage'!D44*'Moyennes et calculs'!B38*'1) Feuille d''encodage'!N102</f>
        <v>0</v>
      </c>
      <c r="L17" s="93">
        <f>'1) Feuille d''encodage'!E44*'Moyennes et calculs'!B38*'1) Feuille d''encodage'!N102</f>
        <v>0</v>
      </c>
      <c r="M17" s="93">
        <f>'1) Feuille d''encodage'!F44*'Moyennes et calculs'!B38*'1) Feuille d''encodage'!N102</f>
        <v>0</v>
      </c>
      <c r="N17" s="93">
        <f>'1) Feuille d''encodage'!G44*'Moyennes et calculs'!B38*'1) Feuille d''encodage'!N102</f>
        <v>0</v>
      </c>
      <c r="O17" s="70">
        <f>'1) Feuille d''encodage'!H44*'Moyennes et calculs'!B38*'1) Feuille d''encodage'!N102</f>
        <v>0</v>
      </c>
    </row>
    <row r="18" spans="1:20" x14ac:dyDescent="0.2">
      <c r="A18" s="191"/>
      <c r="B18" s="11" t="s">
        <v>286</v>
      </c>
      <c r="C18" s="93">
        <f>SUM(C11:C17)</f>
        <v>0.31398500000000001</v>
      </c>
      <c r="D18" s="93">
        <f>SUM(D11:D17)</f>
        <v>0.26704487500000001</v>
      </c>
      <c r="E18" s="93">
        <f>SUM(E11:E17)</f>
        <v>0.39713937500000007</v>
      </c>
      <c r="F18" s="93">
        <f>SUM(F11:F17)</f>
        <v>0.39713937500000007</v>
      </c>
      <c r="G18" s="70">
        <f>SUM(G11:G17)</f>
        <v>0</v>
      </c>
      <c r="I18" s="191"/>
      <c r="J18" s="11" t="s">
        <v>287</v>
      </c>
      <c r="K18" s="93">
        <f>SUM(K11:K17)</f>
        <v>0.31398500000000001</v>
      </c>
      <c r="L18" s="93">
        <f>SUM(L11:L17)</f>
        <v>0.26704487500000001</v>
      </c>
      <c r="M18" s="93">
        <f>SUM(M11:M17)</f>
        <v>0.39713937500000007</v>
      </c>
      <c r="N18" s="93">
        <f>SUM(N11:N17)</f>
        <v>0.39713937500000007</v>
      </c>
      <c r="O18" s="70">
        <f>SUM(O11:O17)</f>
        <v>0</v>
      </c>
    </row>
    <row r="19" spans="1:20" x14ac:dyDescent="0.2">
      <c r="A19" s="11"/>
      <c r="B19" s="11" t="s">
        <v>288</v>
      </c>
      <c r="C19" s="70">
        <f>SUM(C6:C17)*0.15</f>
        <v>0.22115963930769234</v>
      </c>
      <c r="D19" s="70">
        <f>SUM(D6:D17)*0.15</f>
        <v>0.21808855805769226</v>
      </c>
      <c r="E19" s="70">
        <f>SUM(E6:E17)*0.15</f>
        <v>0.36186946551923072</v>
      </c>
      <c r="F19" s="70">
        <f>SUM(F6:F17)*0.15</f>
        <v>0.54442039951923071</v>
      </c>
      <c r="G19" s="70">
        <f>SUM(G6:G17)*0.15</f>
        <v>0</v>
      </c>
      <c r="I19" s="11"/>
      <c r="J19" s="11" t="s">
        <v>288</v>
      </c>
      <c r="K19" s="70">
        <f>SUM(K6:K17)*0.15</f>
        <v>0.22115963930769234</v>
      </c>
      <c r="L19" s="70">
        <f>SUM(L6:L17)*0.15</f>
        <v>0.21808855805769226</v>
      </c>
      <c r="M19" s="70">
        <f>SUM(M6:M17)*0.15</f>
        <v>0.36186946551923072</v>
      </c>
      <c r="N19" s="70">
        <f>SUM(N6:N17)*0.15</f>
        <v>0.54442039951923071</v>
      </c>
      <c r="O19" s="70">
        <f>SUM(O6:O17)*0.15</f>
        <v>0</v>
      </c>
    </row>
    <row r="20" spans="1:20" x14ac:dyDescent="0.2">
      <c r="A20" s="192" t="s">
        <v>289</v>
      </c>
      <c r="B20" s="192"/>
      <c r="C20" s="94">
        <f>(SUM(C6:C17))+C19</f>
        <v>1.6955572346923078</v>
      </c>
      <c r="D20" s="94">
        <f>SUM(D6:D17)+D19</f>
        <v>1.6720122784423075</v>
      </c>
      <c r="E20" s="94">
        <f>SUM(E6:E17)+E19</f>
        <v>2.774332568980769</v>
      </c>
      <c r="F20" s="94">
        <f>SUM(F6:F17)+F19</f>
        <v>4.1738897296474358</v>
      </c>
      <c r="G20" s="94">
        <f>SUM(G6:G17)+G19</f>
        <v>0</v>
      </c>
      <c r="I20" s="192" t="s">
        <v>289</v>
      </c>
      <c r="J20" s="192"/>
      <c r="K20" s="94">
        <f>(SUM(K6:K17))+K19</f>
        <v>1.6955572346923078</v>
      </c>
      <c r="L20" s="94">
        <f>SUM(L6:L17)+L19</f>
        <v>1.6720122784423075</v>
      </c>
      <c r="M20" s="94">
        <f>SUM(M6:M17)+M19</f>
        <v>2.774332568980769</v>
      </c>
      <c r="N20" s="94">
        <f>SUM(N6:N17)+N19</f>
        <v>4.1738897296474358</v>
      </c>
      <c r="O20" s="94">
        <f>SUM(O6:O17)+O19</f>
        <v>0</v>
      </c>
    </row>
    <row r="21" spans="1:20" x14ac:dyDescent="0.2">
      <c r="A21" s="193" t="s">
        <v>290</v>
      </c>
      <c r="B21" s="193"/>
      <c r="C21" s="193"/>
      <c r="D21" s="193"/>
      <c r="E21" s="193"/>
      <c r="F21" s="193"/>
      <c r="G21" s="193"/>
      <c r="H21" s="193"/>
      <c r="I21" s="193" t="s">
        <v>290</v>
      </c>
      <c r="J21" s="193"/>
      <c r="K21" s="193"/>
      <c r="L21" s="193"/>
      <c r="M21" s="193"/>
      <c r="N21" s="193"/>
      <c r="O21" s="193"/>
      <c r="P21" s="193"/>
      <c r="Q21" s="35"/>
      <c r="R21" s="35"/>
      <c r="S21" s="35"/>
      <c r="T21" s="35"/>
    </row>
    <row r="22" spans="1:20" x14ac:dyDescent="0.2">
      <c r="A22" s="193"/>
      <c r="B22" s="193"/>
      <c r="C22" s="193"/>
      <c r="D22" s="193"/>
      <c r="E22" s="193"/>
      <c r="F22" s="193"/>
      <c r="G22" s="193"/>
      <c r="H22" s="193"/>
      <c r="I22" s="193"/>
      <c r="J22" s="193"/>
      <c r="K22" s="193"/>
      <c r="L22" s="193"/>
      <c r="M22" s="193"/>
      <c r="N22" s="193"/>
      <c r="O22" s="193"/>
      <c r="P22" s="193"/>
      <c r="Q22" s="35"/>
      <c r="R22" s="35"/>
      <c r="S22" s="35"/>
      <c r="T22" s="35"/>
    </row>
    <row r="23" spans="1:20" x14ac:dyDescent="0.2">
      <c r="A23" s="29" t="s">
        <v>12</v>
      </c>
    </row>
    <row r="25" spans="1:20" ht="18" x14ac:dyDescent="0.2">
      <c r="A25" s="153" t="s">
        <v>291</v>
      </c>
      <c r="B25" s="153"/>
      <c r="C25" s="153"/>
      <c r="D25" s="153"/>
      <c r="E25" s="153"/>
      <c r="F25" s="153"/>
      <c r="G25" s="153"/>
      <c r="I25" s="158" t="s">
        <v>292</v>
      </c>
      <c r="J25" s="158"/>
      <c r="K25" s="158"/>
      <c r="L25" s="158"/>
      <c r="M25" s="158"/>
      <c r="N25" s="158"/>
      <c r="O25" s="158"/>
    </row>
    <row r="26" spans="1:20" x14ac:dyDescent="0.2">
      <c r="A26" s="95"/>
      <c r="I26" s="95"/>
      <c r="K26" s="90"/>
      <c r="L26" s="90"/>
      <c r="M26" s="90"/>
      <c r="N26" s="90"/>
    </row>
    <row r="27" spans="1:20" x14ac:dyDescent="0.2">
      <c r="A27" s="156"/>
      <c r="B27" s="156"/>
      <c r="C27" s="12" t="s">
        <v>17</v>
      </c>
      <c r="D27" s="12" t="s">
        <v>272</v>
      </c>
      <c r="E27" s="12" t="s">
        <v>273</v>
      </c>
      <c r="F27" s="12" t="s">
        <v>274</v>
      </c>
      <c r="G27" s="12" t="s">
        <v>21</v>
      </c>
      <c r="I27" s="156"/>
      <c r="J27" s="156"/>
      <c r="K27" s="12" t="s">
        <v>17</v>
      </c>
      <c r="L27" s="12" t="s">
        <v>272</v>
      </c>
      <c r="M27" s="12" t="s">
        <v>273</v>
      </c>
      <c r="N27" s="12" t="s">
        <v>274</v>
      </c>
      <c r="O27" s="12" t="s">
        <v>21</v>
      </c>
    </row>
    <row r="28" spans="1:20" x14ac:dyDescent="0.2">
      <c r="A28" s="156" t="s">
        <v>293</v>
      </c>
      <c r="B28" s="156"/>
      <c r="C28" s="61">
        <f>C6</f>
        <v>0.17262183</v>
      </c>
      <c r="D28" s="61">
        <f>D6</f>
        <v>0.17262183</v>
      </c>
      <c r="E28" s="61">
        <f>E6</f>
        <v>0.23016244000000005</v>
      </c>
      <c r="F28" s="61">
        <f>F6</f>
        <v>0.28770305000000002</v>
      </c>
      <c r="G28" s="61">
        <f>G6</f>
        <v>0</v>
      </c>
      <c r="I28" s="191" t="s">
        <v>293</v>
      </c>
      <c r="J28" s="191"/>
      <c r="K28" s="61">
        <f>K6</f>
        <v>0.17262183</v>
      </c>
      <c r="L28" s="61">
        <f>L6</f>
        <v>0.17262183</v>
      </c>
      <c r="M28" s="61">
        <f>M6</f>
        <v>0.23016244000000005</v>
      </c>
      <c r="N28" s="61">
        <f>N6</f>
        <v>0.28770305000000002</v>
      </c>
      <c r="O28" s="61">
        <f>O6</f>
        <v>0</v>
      </c>
    </row>
    <row r="29" spans="1:20" x14ac:dyDescent="0.2">
      <c r="A29" s="156" t="s">
        <v>276</v>
      </c>
      <c r="B29" s="156"/>
      <c r="C29" s="61">
        <f>SUM(C7:C10)</f>
        <v>0.9877907653846153</v>
      </c>
      <c r="D29" s="61">
        <f>SUM(D7:D10)</f>
        <v>1.0142570153846153</v>
      </c>
      <c r="E29" s="61">
        <f>SUM(E7:E10)</f>
        <v>1.7851612884615382</v>
      </c>
      <c r="F29" s="61">
        <f>SUM(F7:F10)</f>
        <v>2.9446269051282048</v>
      </c>
      <c r="G29" s="61">
        <f>SUM(G7:G10)</f>
        <v>0</v>
      </c>
      <c r="I29" s="191" t="s">
        <v>276</v>
      </c>
      <c r="J29" s="191"/>
      <c r="K29" s="61">
        <f>SUM(K7:K10)</f>
        <v>0.9877907653846153</v>
      </c>
      <c r="L29" s="61">
        <f>SUM(L7:L10)</f>
        <v>1.0142570153846153</v>
      </c>
      <c r="M29" s="61">
        <f>SUM(M7:M10)</f>
        <v>1.7851612884615382</v>
      </c>
      <c r="N29" s="61">
        <f>SUM(N7:N10)</f>
        <v>2.9446269051282048</v>
      </c>
      <c r="O29" s="61">
        <f>SUM(O7:O10)</f>
        <v>0</v>
      </c>
    </row>
    <row r="30" spans="1:20" x14ac:dyDescent="0.2">
      <c r="A30" s="156" t="s">
        <v>279</v>
      </c>
      <c r="B30" s="156"/>
      <c r="C30" s="61">
        <f>C18</f>
        <v>0.31398500000000001</v>
      </c>
      <c r="D30" s="61">
        <f>D18</f>
        <v>0.26704487500000001</v>
      </c>
      <c r="E30" s="61">
        <f>E18</f>
        <v>0.39713937500000007</v>
      </c>
      <c r="F30" s="61">
        <f>F18</f>
        <v>0.39713937500000007</v>
      </c>
      <c r="G30" s="61">
        <f>G18</f>
        <v>0</v>
      </c>
      <c r="I30" s="191" t="s">
        <v>279</v>
      </c>
      <c r="J30" s="191"/>
      <c r="K30" s="61">
        <f>K18</f>
        <v>0.31398500000000001</v>
      </c>
      <c r="L30" s="61">
        <f>L18</f>
        <v>0.26704487500000001</v>
      </c>
      <c r="M30" s="61">
        <f>SUM(M11:M17)</f>
        <v>0.39713937500000007</v>
      </c>
      <c r="N30" s="61">
        <f>N18</f>
        <v>0.39713937500000007</v>
      </c>
      <c r="O30" s="61">
        <f>O18</f>
        <v>0</v>
      </c>
    </row>
    <row r="31" spans="1:20" x14ac:dyDescent="0.2">
      <c r="A31" s="171" t="s">
        <v>294</v>
      </c>
      <c r="B31" s="171"/>
      <c r="C31" s="96">
        <f>C20</f>
        <v>1.6955572346923078</v>
      </c>
      <c r="D31" s="96">
        <f>D20</f>
        <v>1.6720122784423075</v>
      </c>
      <c r="E31" s="96">
        <f>E20</f>
        <v>2.774332568980769</v>
      </c>
      <c r="F31" s="96">
        <f>F20</f>
        <v>4.1738897296474358</v>
      </c>
      <c r="G31" s="96">
        <f>G20</f>
        <v>0</v>
      </c>
      <c r="I31" s="194" t="s">
        <v>294</v>
      </c>
      <c r="J31" s="194"/>
      <c r="K31" s="96">
        <f>K20</f>
        <v>1.6955572346923078</v>
      </c>
      <c r="L31" s="96">
        <f>L20</f>
        <v>1.6720122784423075</v>
      </c>
      <c r="M31" s="96">
        <f>M20</f>
        <v>2.774332568980769</v>
      </c>
      <c r="N31" s="96">
        <f>N20</f>
        <v>4.1738897296474358</v>
      </c>
      <c r="O31" s="96">
        <f>O20</f>
        <v>0</v>
      </c>
    </row>
  </sheetData>
  <mergeCells count="23">
    <mergeCell ref="A30:B30"/>
    <mergeCell ref="I30:J30"/>
    <mergeCell ref="A31:B31"/>
    <mergeCell ref="I31:J31"/>
    <mergeCell ref="A27:B27"/>
    <mergeCell ref="I27:J27"/>
    <mergeCell ref="A28:B28"/>
    <mergeCell ref="I28:J28"/>
    <mergeCell ref="A29:B29"/>
    <mergeCell ref="I29:J29"/>
    <mergeCell ref="A20:B20"/>
    <mergeCell ref="I20:J20"/>
    <mergeCell ref="A21:H22"/>
    <mergeCell ref="I21:P22"/>
    <mergeCell ref="A25:G25"/>
    <mergeCell ref="I25:O25"/>
    <mergeCell ref="A11:A18"/>
    <mergeCell ref="I11:I18"/>
    <mergeCell ref="A1:O1"/>
    <mergeCell ref="A3:G3"/>
    <mergeCell ref="I3:O3"/>
    <mergeCell ref="A7:A10"/>
    <mergeCell ref="I7:I10"/>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B8BBB-E565-A142-AE31-06B21F6091F5}">
  <dimension ref="A1:O46"/>
  <sheetViews>
    <sheetView tabSelected="1" workbookViewId="0">
      <selection sqref="A1:G1"/>
    </sheetView>
  </sheetViews>
  <sheetFormatPr baseColWidth="10" defaultColWidth="11.6640625" defaultRowHeight="16" x14ac:dyDescent="0.2"/>
  <cols>
    <col min="1" max="1" width="31.6640625" customWidth="1"/>
    <col min="2" max="2" width="22.33203125" customWidth="1"/>
    <col min="3" max="3" width="27.83203125" customWidth="1"/>
    <col min="4" max="7" width="19.33203125" customWidth="1"/>
  </cols>
  <sheetData>
    <row r="1" spans="1:7" ht="33" x14ac:dyDescent="0.35">
      <c r="A1" s="196" t="s">
        <v>295</v>
      </c>
      <c r="B1" s="196"/>
      <c r="C1" s="196"/>
      <c r="D1" s="196"/>
      <c r="E1" s="196"/>
      <c r="F1" s="196"/>
      <c r="G1" s="196"/>
    </row>
    <row r="3" spans="1:7" ht="18" x14ac:dyDescent="0.2">
      <c r="A3" s="197" t="s">
        <v>296</v>
      </c>
      <c r="B3" s="197"/>
      <c r="C3" s="197"/>
      <c r="D3" s="197"/>
      <c r="E3" s="197"/>
      <c r="F3" s="197"/>
      <c r="G3" s="197"/>
    </row>
    <row r="4" spans="1:7" x14ac:dyDescent="0.2">
      <c r="C4" s="90"/>
      <c r="D4" s="90"/>
      <c r="E4" s="90"/>
      <c r="F4" s="90"/>
    </row>
    <row r="5" spans="1:7" x14ac:dyDescent="0.2">
      <c r="A5" s="198"/>
      <c r="B5" s="198"/>
      <c r="C5" s="97" t="s">
        <v>17</v>
      </c>
      <c r="D5" s="97" t="s">
        <v>272</v>
      </c>
      <c r="E5" s="97" t="s">
        <v>273</v>
      </c>
      <c r="F5" s="97" t="s">
        <v>274</v>
      </c>
      <c r="G5" s="97" t="s">
        <v>42</v>
      </c>
    </row>
    <row r="6" spans="1:7" x14ac:dyDescent="0.2">
      <c r="A6" s="198" t="s">
        <v>53</v>
      </c>
      <c r="B6" s="198"/>
      <c r="C6" s="98">
        <f>'3) Votre résultat'!C20</f>
        <v>1.6955572346923078</v>
      </c>
      <c r="D6" s="98">
        <f>'3) Votre résultat'!D20</f>
        <v>1.6720122784423075</v>
      </c>
      <c r="E6" s="98">
        <f>'3) Votre résultat'!E20</f>
        <v>2.774332568980769</v>
      </c>
      <c r="F6" s="98">
        <f>'3) Votre résultat'!F20</f>
        <v>4.1738897296474358</v>
      </c>
      <c r="G6" s="98">
        <f>'3) Votre résultat'!G20</f>
        <v>0</v>
      </c>
    </row>
    <row r="7" spans="1:7" x14ac:dyDescent="0.2">
      <c r="A7" s="198" t="s">
        <v>54</v>
      </c>
      <c r="B7" s="198"/>
      <c r="C7" s="98">
        <f>'3) Votre résultat'!K20</f>
        <v>1.6955572346923078</v>
      </c>
      <c r="D7" s="98">
        <f>'3) Votre résultat'!L20</f>
        <v>1.6720122784423075</v>
      </c>
      <c r="E7" s="98">
        <f>'3) Votre résultat'!M20</f>
        <v>2.774332568980769</v>
      </c>
      <c r="F7" s="98">
        <f>'3) Votre résultat'!N20</f>
        <v>4.1738897296474358</v>
      </c>
      <c r="G7" s="98">
        <f>'3) Votre résultat'!O20</f>
        <v>0</v>
      </c>
    </row>
    <row r="8" spans="1:7" ht="15" customHeight="1" x14ac:dyDescent="0.2">
      <c r="A8" s="195" t="s">
        <v>297</v>
      </c>
      <c r="B8" s="195"/>
      <c r="C8" s="99">
        <f>C6-C7</f>
        <v>0</v>
      </c>
      <c r="D8" s="99">
        <f>D6-D7</f>
        <v>0</v>
      </c>
      <c r="E8" s="99">
        <f>E6-E7</f>
        <v>0</v>
      </c>
      <c r="F8" s="99">
        <f>F6-F7</f>
        <v>0</v>
      </c>
      <c r="G8" s="99">
        <f>G6-G7</f>
        <v>0</v>
      </c>
    </row>
    <row r="9" spans="1:7" x14ac:dyDescent="0.2">
      <c r="C9" s="90"/>
      <c r="D9" s="90"/>
      <c r="E9" s="90"/>
      <c r="F9" s="90"/>
    </row>
    <row r="10" spans="1:7" x14ac:dyDescent="0.2">
      <c r="C10" s="90"/>
      <c r="D10" s="90"/>
      <c r="E10" s="90"/>
      <c r="F10" s="90"/>
    </row>
    <row r="11" spans="1:7" x14ac:dyDescent="0.2">
      <c r="A11" s="95" t="s">
        <v>298</v>
      </c>
      <c r="C11" s="90"/>
      <c r="D11" s="90"/>
      <c r="E11" s="90"/>
      <c r="F11" s="90"/>
    </row>
    <row r="12" spans="1:7" x14ac:dyDescent="0.2">
      <c r="C12" s="90"/>
      <c r="D12" s="90"/>
      <c r="E12" s="90"/>
      <c r="F12" s="90"/>
    </row>
    <row r="13" spans="1:7" ht="18" x14ac:dyDescent="0.2">
      <c r="A13" s="168" t="s">
        <v>299</v>
      </c>
      <c r="B13" s="168"/>
      <c r="C13" s="168"/>
      <c r="D13" s="168"/>
      <c r="E13" s="90"/>
      <c r="F13" s="90"/>
    </row>
    <row r="14" spans="1:7" x14ac:dyDescent="0.2">
      <c r="A14" s="51" t="s">
        <v>95</v>
      </c>
      <c r="B14" s="200" t="s">
        <v>96</v>
      </c>
      <c r="C14" s="200"/>
      <c r="D14" s="100">
        <f>'[1]1) Feuille d''encodage'!C114</f>
        <v>0</v>
      </c>
      <c r="E14" s="90"/>
      <c r="F14" s="90"/>
    </row>
    <row r="15" spans="1:7" ht="35" customHeight="1" x14ac:dyDescent="0.2">
      <c r="A15" s="51"/>
      <c r="B15" s="201" t="s">
        <v>97</v>
      </c>
      <c r="C15" s="201"/>
      <c r="D15" s="101">
        <f>'[1]1) Feuille d''encodage'!C115</f>
        <v>0</v>
      </c>
      <c r="E15" s="90"/>
      <c r="F15" s="90"/>
    </row>
    <row r="16" spans="1:7" x14ac:dyDescent="0.2">
      <c r="A16" s="51" t="s">
        <v>98</v>
      </c>
      <c r="B16" s="200" t="s">
        <v>99</v>
      </c>
      <c r="C16" s="200"/>
      <c r="D16" s="100">
        <f>'[1]1) Feuille d''encodage'!C116</f>
        <v>0</v>
      </c>
      <c r="E16" s="90"/>
      <c r="F16" s="90"/>
    </row>
    <row r="17" spans="1:15" x14ac:dyDescent="0.2">
      <c r="A17" s="51" t="s">
        <v>22</v>
      </c>
      <c r="B17" s="200" t="s">
        <v>100</v>
      </c>
      <c r="C17" s="200"/>
      <c r="D17" s="100">
        <f>'[1]1) Feuille d''encodage'!C117</f>
        <v>0</v>
      </c>
      <c r="E17" s="90"/>
      <c r="F17" s="90"/>
    </row>
    <row r="18" spans="1:15" x14ac:dyDescent="0.2">
      <c r="A18" s="51"/>
      <c r="B18" s="200" t="s">
        <v>300</v>
      </c>
      <c r="C18" s="200"/>
      <c r="D18" s="100">
        <f>'[1]1) Feuille d''encodage'!C118</f>
        <v>0</v>
      </c>
      <c r="E18" s="90"/>
      <c r="F18" s="90"/>
    </row>
    <row r="19" spans="1:15" x14ac:dyDescent="0.2">
      <c r="A19" s="51"/>
      <c r="B19" s="200" t="s">
        <v>301</v>
      </c>
      <c r="C19" s="200"/>
      <c r="D19" s="100">
        <f>'[1]1) Feuille d''encodage'!C119</f>
        <v>0</v>
      </c>
      <c r="E19" s="90"/>
      <c r="F19" s="90"/>
    </row>
    <row r="20" spans="1:15" x14ac:dyDescent="0.2">
      <c r="A20" s="51" t="s">
        <v>69</v>
      </c>
      <c r="B20" s="200" t="s">
        <v>103</v>
      </c>
      <c r="C20" s="200"/>
      <c r="D20" s="100">
        <f>'[1]1) Feuille d''encodage'!C120</f>
        <v>0</v>
      </c>
      <c r="E20" s="90"/>
      <c r="F20" s="90"/>
    </row>
    <row r="21" spans="1:15" x14ac:dyDescent="0.2">
      <c r="A21" s="51" t="s">
        <v>44</v>
      </c>
      <c r="B21" s="200" t="s">
        <v>104</v>
      </c>
      <c r="C21" s="200"/>
      <c r="D21" s="100">
        <f>'[1]1) Feuille d''encodage'!C121</f>
        <v>0</v>
      </c>
      <c r="E21" s="90"/>
      <c r="F21" s="90"/>
    </row>
    <row r="22" spans="1:15" x14ac:dyDescent="0.2">
      <c r="A22" s="51" t="s">
        <v>105</v>
      </c>
      <c r="B22" s="200" t="s">
        <v>302</v>
      </c>
      <c r="C22" s="200"/>
      <c r="D22" s="100">
        <f>'[1]1) Feuille d''encodage'!C122</f>
        <v>0</v>
      </c>
      <c r="E22" s="90"/>
      <c r="F22" s="90"/>
    </row>
    <row r="23" spans="1:15" x14ac:dyDescent="0.2">
      <c r="C23" s="90"/>
      <c r="D23" s="90"/>
      <c r="E23" s="90"/>
      <c r="F23" s="90"/>
    </row>
    <row r="24" spans="1:15" ht="18" x14ac:dyDescent="0.2">
      <c r="A24" s="197" t="s">
        <v>303</v>
      </c>
      <c r="B24" s="197"/>
      <c r="C24" s="197"/>
      <c r="D24" s="197"/>
      <c r="E24" s="197"/>
      <c r="F24" s="197"/>
      <c r="G24" s="197"/>
      <c r="H24" s="8"/>
      <c r="I24" s="8"/>
      <c r="J24" s="8"/>
      <c r="K24" s="8"/>
      <c r="L24" s="8"/>
      <c r="M24" s="8"/>
      <c r="N24" s="8"/>
      <c r="O24" s="8"/>
    </row>
    <row r="25" spans="1:15" x14ac:dyDescent="0.2">
      <c r="C25" s="90"/>
      <c r="D25" s="90"/>
      <c r="E25" s="90"/>
      <c r="F25" s="90"/>
    </row>
    <row r="26" spans="1:15" ht="18" x14ac:dyDescent="0.2">
      <c r="A26" s="199" t="s">
        <v>53</v>
      </c>
      <c r="B26" s="199"/>
      <c r="C26" s="199"/>
      <c r="D26" s="199"/>
      <c r="E26" s="199"/>
      <c r="F26" s="199"/>
      <c r="G26" s="199"/>
    </row>
    <row r="27" spans="1:15" x14ac:dyDescent="0.2">
      <c r="C27" s="90"/>
      <c r="D27" s="90"/>
      <c r="E27" s="90"/>
      <c r="F27" s="90"/>
    </row>
    <row r="28" spans="1:15" x14ac:dyDescent="0.2">
      <c r="A28" t="s">
        <v>304</v>
      </c>
      <c r="C28" s="90"/>
      <c r="D28" s="90"/>
      <c r="E28" s="90"/>
      <c r="F28" s="90"/>
    </row>
    <row r="29" spans="1:15" x14ac:dyDescent="0.2">
      <c r="C29" s="90"/>
      <c r="D29" s="90"/>
      <c r="E29" s="90"/>
      <c r="F29" s="90"/>
    </row>
    <row r="30" spans="1:15" x14ac:dyDescent="0.2">
      <c r="C30" s="90"/>
      <c r="D30" s="90"/>
      <c r="E30" s="90"/>
      <c r="F30" s="90"/>
    </row>
    <row r="31" spans="1:15" x14ac:dyDescent="0.2">
      <c r="A31" s="11"/>
      <c r="B31" s="12" t="s">
        <v>17</v>
      </c>
      <c r="C31" s="12" t="s">
        <v>272</v>
      </c>
      <c r="D31" s="12" t="s">
        <v>273</v>
      </c>
      <c r="E31" s="12" t="s">
        <v>274</v>
      </c>
      <c r="F31" s="12" t="s">
        <v>42</v>
      </c>
    </row>
    <row r="32" spans="1:15" x14ac:dyDescent="0.2">
      <c r="A32" s="11" t="s">
        <v>305</v>
      </c>
      <c r="B32" s="102">
        <v>0</v>
      </c>
      <c r="C32" s="102">
        <v>0</v>
      </c>
      <c r="D32" s="102">
        <v>0</v>
      </c>
      <c r="E32" s="102">
        <v>0</v>
      </c>
      <c r="F32" s="102">
        <v>0</v>
      </c>
    </row>
    <row r="33" spans="1:7" x14ac:dyDescent="0.2">
      <c r="A33" s="11" t="s">
        <v>306</v>
      </c>
      <c r="B33" s="70">
        <f>B32*C6</f>
        <v>0</v>
      </c>
      <c r="C33" s="70">
        <f>C32*D6</f>
        <v>0</v>
      </c>
      <c r="D33" s="70">
        <f>D32*E6</f>
        <v>0</v>
      </c>
      <c r="E33" s="70">
        <f>E32*F6</f>
        <v>0</v>
      </c>
      <c r="F33" s="70">
        <f>F32*G6</f>
        <v>0</v>
      </c>
    </row>
    <row r="34" spans="1:7" x14ac:dyDescent="0.2">
      <c r="A34" s="103" t="s">
        <v>307</v>
      </c>
      <c r="B34" s="202">
        <f>(B33+C33+D33+E33+F33)*'[1]1) Feuille d''encodage'!C77</f>
        <v>0</v>
      </c>
      <c r="C34" s="202"/>
      <c r="D34" s="202"/>
      <c r="E34" s="202"/>
      <c r="F34" s="202"/>
    </row>
    <row r="35" spans="1:7" ht="51" x14ac:dyDescent="0.2">
      <c r="A35" s="104" t="s">
        <v>308</v>
      </c>
      <c r="B35" s="203">
        <f>B34-(B34*'[1]1) Feuille d''encodage'!C107)</f>
        <v>0</v>
      </c>
      <c r="C35" s="203"/>
      <c r="D35" s="203"/>
      <c r="E35" s="203"/>
      <c r="F35" s="203"/>
    </row>
    <row r="37" spans="1:7" ht="18" x14ac:dyDescent="0.2">
      <c r="A37" s="158" t="s">
        <v>54</v>
      </c>
      <c r="B37" s="158"/>
      <c r="C37" s="158"/>
      <c r="D37" s="158"/>
      <c r="E37" s="158"/>
      <c r="F37" s="158"/>
      <c r="G37" s="158"/>
    </row>
    <row r="39" spans="1:7" x14ac:dyDescent="0.2">
      <c r="A39" t="s">
        <v>304</v>
      </c>
      <c r="C39" s="90"/>
      <c r="D39" s="90"/>
      <c r="E39" s="90"/>
      <c r="F39" s="90"/>
    </row>
    <row r="40" spans="1:7" x14ac:dyDescent="0.2">
      <c r="A40" t="s">
        <v>309</v>
      </c>
      <c r="C40" s="90"/>
      <c r="D40" s="90"/>
      <c r="E40" s="90"/>
      <c r="F40" s="90"/>
    </row>
    <row r="41" spans="1:7" x14ac:dyDescent="0.2">
      <c r="C41" s="90"/>
      <c r="D41" s="90"/>
      <c r="E41" s="90"/>
      <c r="F41" s="90"/>
    </row>
    <row r="42" spans="1:7" x14ac:dyDescent="0.2">
      <c r="A42" s="11"/>
      <c r="B42" s="12" t="s">
        <v>17</v>
      </c>
      <c r="C42" s="12" t="s">
        <v>272</v>
      </c>
      <c r="D42" s="12" t="s">
        <v>273</v>
      </c>
      <c r="E42" s="12" t="s">
        <v>274</v>
      </c>
      <c r="F42" s="12" t="s">
        <v>42</v>
      </c>
    </row>
    <row r="43" spans="1:7" x14ac:dyDescent="0.2">
      <c r="A43" s="11" t="s">
        <v>305</v>
      </c>
      <c r="B43" s="102">
        <v>0</v>
      </c>
      <c r="C43" s="102">
        <v>0</v>
      </c>
      <c r="D43" s="102">
        <v>0</v>
      </c>
      <c r="E43" s="102">
        <v>0</v>
      </c>
      <c r="F43" s="102">
        <v>0</v>
      </c>
    </row>
    <row r="44" spans="1:7" x14ac:dyDescent="0.2">
      <c r="A44" s="11" t="s">
        <v>306</v>
      </c>
      <c r="B44" s="70">
        <f>B43*C7</f>
        <v>0</v>
      </c>
      <c r="C44" s="70">
        <f>C43*D7</f>
        <v>0</v>
      </c>
      <c r="D44" s="70">
        <f>D43*E7</f>
        <v>0</v>
      </c>
      <c r="E44" s="70">
        <f>E43*F7</f>
        <v>0</v>
      </c>
      <c r="F44" s="70">
        <f>F43*G7</f>
        <v>0</v>
      </c>
    </row>
    <row r="45" spans="1:7" x14ac:dyDescent="0.2">
      <c r="A45" s="103" t="s">
        <v>307</v>
      </c>
      <c r="B45" s="202">
        <f>(B44+C44+D44+E44+F44)*'[1]1) Feuille d''encodage'!G77</f>
        <v>0</v>
      </c>
      <c r="C45" s="202"/>
      <c r="D45" s="202"/>
      <c r="E45" s="202"/>
      <c r="F45" s="202"/>
    </row>
    <row r="46" spans="1:7" ht="51" x14ac:dyDescent="0.2">
      <c r="A46" s="104" t="s">
        <v>308</v>
      </c>
      <c r="B46" s="203">
        <f>B45-(B45*'[1]1) Feuille d''encodage'!G107)</f>
        <v>0</v>
      </c>
      <c r="C46" s="203"/>
      <c r="D46" s="203"/>
      <c r="E46" s="203"/>
      <c r="F46" s="203"/>
    </row>
  </sheetData>
  <mergeCells count="23">
    <mergeCell ref="B34:F34"/>
    <mergeCell ref="B35:F35"/>
    <mergeCell ref="A37:G37"/>
    <mergeCell ref="B45:F45"/>
    <mergeCell ref="B46:F46"/>
    <mergeCell ref="A26:G26"/>
    <mergeCell ref="A13:D13"/>
    <mergeCell ref="B14:C14"/>
    <mergeCell ref="B15:C15"/>
    <mergeCell ref="B16:C16"/>
    <mergeCell ref="B17:C17"/>
    <mergeCell ref="B18:C18"/>
    <mergeCell ref="B19:C19"/>
    <mergeCell ref="B20:C20"/>
    <mergeCell ref="B21:C21"/>
    <mergeCell ref="B22:C22"/>
    <mergeCell ref="A24:G24"/>
    <mergeCell ref="A8:B8"/>
    <mergeCell ref="A1:G1"/>
    <mergeCell ref="A3:G3"/>
    <mergeCell ref="A5:B5"/>
    <mergeCell ref="A6:B6"/>
    <mergeCell ref="A7:B7"/>
  </mergeCells>
  <dataValidations count="3">
    <dataValidation type="list" operator="equal" allowBlank="1" showErrorMessage="1" sqref="C18:C21" xr:uid="{B10539BF-42BB-CA48-96EA-1E531AB873DA}">
      <formula1>"Oui,Non,"</formula1>
      <formula2>0</formula2>
    </dataValidation>
    <dataValidation type="list" operator="equal" allowBlank="1" showErrorMessage="1" sqref="C14 C16:C17" xr:uid="{5485FDBE-2F59-394B-B3EE-9EC65BF0BB29}">
      <formula1>"Oui,Non"</formula1>
      <formula2>0</formula2>
    </dataValidation>
    <dataValidation operator="equal" allowBlank="1" showErrorMessage="1" sqref="C15" xr:uid="{47A08308-C80B-E447-8988-2795FC54C807}">
      <formula1>0</formula1>
      <formula2>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8A38-2B30-E64C-85E6-40013337A6A6}">
  <dimension ref="A1:Q38"/>
  <sheetViews>
    <sheetView workbookViewId="0">
      <selection activeCell="B28" sqref="B28"/>
    </sheetView>
  </sheetViews>
  <sheetFormatPr baseColWidth="10" defaultColWidth="11.6640625" defaultRowHeight="16" x14ac:dyDescent="0.2"/>
  <cols>
    <col min="1" max="1" width="25.1640625" customWidth="1"/>
    <col min="2" max="2" width="30.1640625" customWidth="1"/>
    <col min="7" max="7" width="15.33203125" customWidth="1"/>
    <col min="10" max="10" width="25.83203125" customWidth="1"/>
    <col min="11" max="11" width="28.33203125" customWidth="1"/>
    <col min="16" max="16" width="15.6640625" customWidth="1"/>
  </cols>
  <sheetData>
    <row r="1" spans="1:17" ht="33" x14ac:dyDescent="0.35">
      <c r="A1" s="151" t="s">
        <v>382</v>
      </c>
      <c r="B1" s="151"/>
      <c r="C1" s="151"/>
      <c r="D1" s="151"/>
      <c r="E1" s="151"/>
      <c r="F1" s="151"/>
      <c r="G1" s="151"/>
      <c r="H1" s="151"/>
      <c r="I1" s="151"/>
      <c r="J1" s="151"/>
      <c r="K1" s="151"/>
      <c r="L1" s="151"/>
      <c r="M1" s="151"/>
      <c r="N1" s="151"/>
      <c r="O1" s="151"/>
      <c r="P1" s="151"/>
      <c r="Q1" s="151"/>
    </row>
    <row r="3" spans="1:17" x14ac:dyDescent="0.2">
      <c r="A3" s="131" t="s">
        <v>53</v>
      </c>
      <c r="B3" s="131"/>
      <c r="C3" s="131"/>
      <c r="D3" s="131"/>
      <c r="E3" s="131"/>
      <c r="F3" s="131"/>
      <c r="G3" s="131"/>
      <c r="H3" s="131"/>
      <c r="J3" s="131" t="s">
        <v>54</v>
      </c>
      <c r="K3" s="131"/>
      <c r="L3" s="131"/>
      <c r="M3" s="131"/>
      <c r="N3" s="131"/>
      <c r="O3" s="131"/>
      <c r="P3" s="131"/>
      <c r="Q3" s="131"/>
    </row>
    <row r="5" spans="1:17" x14ac:dyDescent="0.2">
      <c r="A5" s="11"/>
      <c r="B5" s="11"/>
      <c r="C5" s="12" t="s">
        <v>17</v>
      </c>
      <c r="D5" s="12" t="s">
        <v>272</v>
      </c>
      <c r="E5" s="12" t="s">
        <v>273</v>
      </c>
      <c r="F5" s="12" t="s">
        <v>274</v>
      </c>
      <c r="G5" s="12" t="s">
        <v>42</v>
      </c>
      <c r="H5" s="13" t="s">
        <v>383</v>
      </c>
      <c r="J5" s="11"/>
      <c r="K5" s="11"/>
      <c r="L5" s="12" t="s">
        <v>17</v>
      </c>
      <c r="M5" s="12" t="s">
        <v>272</v>
      </c>
      <c r="N5" s="12" t="s">
        <v>273</v>
      </c>
      <c r="O5" s="12" t="s">
        <v>274</v>
      </c>
      <c r="P5" s="12" t="s">
        <v>42</v>
      </c>
      <c r="Q5" s="12" t="s">
        <v>383</v>
      </c>
    </row>
    <row r="6" spans="1:17" x14ac:dyDescent="0.2">
      <c r="A6" s="11" t="s">
        <v>30</v>
      </c>
      <c r="B6" s="11" t="s">
        <v>275</v>
      </c>
      <c r="C6" s="70">
        <f>'3) Votre résultat'!C6</f>
        <v>0.17262183</v>
      </c>
      <c r="D6" s="70">
        <f>'3) Votre résultat'!D6</f>
        <v>0.17262183</v>
      </c>
      <c r="E6" s="70">
        <f>'3) Votre résultat'!E6</f>
        <v>0.23016244000000005</v>
      </c>
      <c r="F6" s="70">
        <f>'3) Votre résultat'!F6</f>
        <v>0.28770305000000002</v>
      </c>
      <c r="G6" s="70">
        <f>'3) Votre résultat'!G6</f>
        <v>0</v>
      </c>
      <c r="H6" s="132">
        <f>SUM(C6:G6)</f>
        <v>0.8631091500000001</v>
      </c>
      <c r="J6" s="11" t="s">
        <v>30</v>
      </c>
      <c r="K6" s="11" t="s">
        <v>275</v>
      </c>
      <c r="L6" s="70">
        <f>'3) Votre résultat'!K6</f>
        <v>0.17262183</v>
      </c>
      <c r="M6" s="70">
        <f>'3) Votre résultat'!L6</f>
        <v>0.17262183</v>
      </c>
      <c r="N6" s="70">
        <f>'3) Votre résultat'!M6</f>
        <v>0.23016244000000005</v>
      </c>
      <c r="O6" s="70">
        <f>'3) Votre résultat'!N6</f>
        <v>0.28770305000000002</v>
      </c>
      <c r="P6" s="70">
        <f>'3) Votre résultat'!O6</f>
        <v>0</v>
      </c>
      <c r="Q6" s="132">
        <f>SUM(L6:P6)</f>
        <v>0.8631091500000001</v>
      </c>
    </row>
    <row r="7" spans="1:17" x14ac:dyDescent="0.2">
      <c r="A7" s="91" t="s">
        <v>276</v>
      </c>
      <c r="B7" s="11" t="s">
        <v>22</v>
      </c>
      <c r="C7" s="70">
        <f>'3) Votre résultat'!C7</f>
        <v>0.36339201538461535</v>
      </c>
      <c r="D7" s="70">
        <f>'3) Votre résultat'!D7</f>
        <v>0.36339201538461535</v>
      </c>
      <c r="E7" s="70">
        <f>'3) Votre résultat'!E7</f>
        <v>0.90848003846153835</v>
      </c>
      <c r="F7" s="70">
        <f>'3) Votre résultat'!F7</f>
        <v>1.695829405128205</v>
      </c>
      <c r="G7" s="70">
        <f>'3) Votre résultat'!G7</f>
        <v>0</v>
      </c>
      <c r="H7" s="132">
        <f>SUM(C7:G7)</f>
        <v>3.331093474358974</v>
      </c>
      <c r="J7" s="91" t="s">
        <v>276</v>
      </c>
      <c r="K7" s="11" t="s">
        <v>22</v>
      </c>
      <c r="L7" s="70">
        <f>'3) Votre résultat'!K7</f>
        <v>0.36339201538461535</v>
      </c>
      <c r="M7" s="70">
        <f>'3) Votre résultat'!L7</f>
        <v>0.36339201538461535</v>
      </c>
      <c r="N7" s="70">
        <f>'3) Votre résultat'!M7</f>
        <v>0.90848003846153835</v>
      </c>
      <c r="O7" s="70">
        <f>'3) Votre résultat'!N7</f>
        <v>1.695829405128205</v>
      </c>
      <c r="P7" s="70">
        <f>'3) Votre résultat'!O7</f>
        <v>0</v>
      </c>
      <c r="Q7" s="132">
        <f>SUM(L7:P7)</f>
        <v>3.331093474358974</v>
      </c>
    </row>
    <row r="8" spans="1:17" x14ac:dyDescent="0.2">
      <c r="A8" s="11"/>
      <c r="B8" s="11" t="s">
        <v>277</v>
      </c>
      <c r="C8" s="70">
        <f>'3) Votre résultat'!C8</f>
        <v>7.939874999999999E-2</v>
      </c>
      <c r="D8" s="70">
        <f>'3) Votre résultat'!D8</f>
        <v>0.10586499999999999</v>
      </c>
      <c r="E8" s="70">
        <f>'3) Votre résultat'!E8</f>
        <v>0.13233124999999998</v>
      </c>
      <c r="F8" s="70">
        <f>'3) Votre résultat'!F8</f>
        <v>0.15879749999999998</v>
      </c>
      <c r="G8" s="70">
        <f>'3) Votre résultat'!G8</f>
        <v>0</v>
      </c>
      <c r="H8" s="132">
        <f>SUM(C8:G8)</f>
        <v>0.47639249999999994</v>
      </c>
      <c r="J8" s="11"/>
      <c r="K8" s="11" t="s">
        <v>277</v>
      </c>
      <c r="L8" s="70">
        <f>'3) Votre résultat'!K8</f>
        <v>7.939874999999999E-2</v>
      </c>
      <c r="M8" s="70">
        <f>'3) Votre résultat'!L8</f>
        <v>0.10586499999999999</v>
      </c>
      <c r="N8" s="70">
        <f>'3) Votre résultat'!M8</f>
        <v>0.13233124999999998</v>
      </c>
      <c r="O8" s="70">
        <f>'3) Votre résultat'!N8</f>
        <v>0.15879749999999998</v>
      </c>
      <c r="P8" s="70">
        <f>'3) Votre résultat'!O8</f>
        <v>0</v>
      </c>
      <c r="Q8" s="132">
        <f>SUM(L8:P8)</f>
        <v>0.47639249999999994</v>
      </c>
    </row>
    <row r="9" spans="1:17" x14ac:dyDescent="0.2">
      <c r="A9" s="11"/>
      <c r="B9" s="11" t="s">
        <v>278</v>
      </c>
      <c r="C9" s="70">
        <f>'3) Votre résultat'!C9</f>
        <v>0.22587499999999996</v>
      </c>
      <c r="D9" s="70">
        <f>'3) Votre résultat'!D9</f>
        <v>0.22587499999999996</v>
      </c>
      <c r="E9" s="70">
        <f>'3) Votre résultat'!E9</f>
        <v>0.36139999999999994</v>
      </c>
      <c r="F9" s="70">
        <f>'3) Votre résultat'!F9</f>
        <v>0.45174999999999993</v>
      </c>
      <c r="G9" s="70">
        <f>'3) Votre résultat'!G9</f>
        <v>0</v>
      </c>
      <c r="H9" s="132">
        <f>SUM(C9:G9)</f>
        <v>1.2648999999999997</v>
      </c>
      <c r="J9" s="11"/>
      <c r="K9" s="11" t="s">
        <v>278</v>
      </c>
      <c r="L9" s="70">
        <f>'3) Votre résultat'!K9</f>
        <v>0.22587499999999996</v>
      </c>
      <c r="M9" s="70">
        <f>'3) Votre résultat'!L9</f>
        <v>0.22587499999999996</v>
      </c>
      <c r="N9" s="70">
        <f>'3) Votre résultat'!M9</f>
        <v>0.36139999999999994</v>
      </c>
      <c r="O9" s="70">
        <f>'3) Votre résultat'!N9</f>
        <v>0.45174999999999993</v>
      </c>
      <c r="P9" s="70">
        <f>'3) Votre résultat'!O9</f>
        <v>0</v>
      </c>
      <c r="Q9" s="132">
        <f>SUM(L9:P9)</f>
        <v>1.2648999999999997</v>
      </c>
    </row>
    <row r="10" spans="1:17" x14ac:dyDescent="0.2">
      <c r="A10" s="91" t="s">
        <v>276</v>
      </c>
      <c r="B10" s="11" t="s">
        <v>33</v>
      </c>
      <c r="C10" s="70">
        <f>'3) Votre résultat'!C10</f>
        <v>0.31912499999999999</v>
      </c>
      <c r="D10" s="70">
        <f>'3) Votre résultat'!D10</f>
        <v>0.31912499999999999</v>
      </c>
      <c r="E10" s="70">
        <f>'3) Votre résultat'!E10</f>
        <v>0.38294999999999996</v>
      </c>
      <c r="F10" s="70">
        <f>'3) Votre résultat'!F10</f>
        <v>0.63824999999999998</v>
      </c>
      <c r="G10" s="70">
        <f>'3) Votre résultat'!G10</f>
        <v>0</v>
      </c>
      <c r="H10" s="132">
        <f>SUM(C10:G10)</f>
        <v>1.6594499999999999</v>
      </c>
      <c r="I10" s="92"/>
      <c r="J10" s="91" t="s">
        <v>276</v>
      </c>
      <c r="K10" s="11" t="s">
        <v>33</v>
      </c>
      <c r="L10" s="70">
        <f>'3) Votre résultat'!K10</f>
        <v>0.31912499999999999</v>
      </c>
      <c r="M10" s="70">
        <f>'3) Votre résultat'!L10</f>
        <v>0.31912499999999999</v>
      </c>
      <c r="N10" s="70">
        <f>'3) Votre résultat'!M10</f>
        <v>0.38294999999999996</v>
      </c>
      <c r="O10" s="70">
        <f>'3) Votre résultat'!N10</f>
        <v>0.63824999999999998</v>
      </c>
      <c r="P10" s="70">
        <f>'3) Votre résultat'!O10</f>
        <v>0</v>
      </c>
      <c r="Q10" s="132">
        <f>SUM(L10:P10)</f>
        <v>1.6594499999999999</v>
      </c>
    </row>
    <row r="11" spans="1:17" x14ac:dyDescent="0.2">
      <c r="A11" s="91" t="s">
        <v>279</v>
      </c>
      <c r="B11" s="11" t="s">
        <v>280</v>
      </c>
      <c r="C11" s="93"/>
      <c r="D11" s="93"/>
      <c r="E11" s="93"/>
      <c r="F11" s="93"/>
      <c r="G11" s="70" t="s">
        <v>384</v>
      </c>
      <c r="H11" s="132">
        <f>SUM(H7:H10)+H19</f>
        <v>8.0773740367628193</v>
      </c>
      <c r="J11" s="91" t="s">
        <v>279</v>
      </c>
      <c r="K11" s="11" t="s">
        <v>280</v>
      </c>
      <c r="L11" s="93"/>
      <c r="M11" s="93"/>
      <c r="N11" s="93"/>
      <c r="O11" s="93"/>
      <c r="P11" s="70" t="s">
        <v>384</v>
      </c>
      <c r="Q11" s="133">
        <f>Q7+Q8+Q9+Q10+Q19</f>
        <v>8.0773740367628193</v>
      </c>
    </row>
    <row r="12" spans="1:17" x14ac:dyDescent="0.2">
      <c r="A12" s="11"/>
      <c r="B12" s="11" t="s">
        <v>281</v>
      </c>
      <c r="C12" s="93"/>
      <c r="D12" s="93"/>
      <c r="E12" s="93"/>
      <c r="F12" s="93"/>
      <c r="G12" s="70" t="s">
        <v>385</v>
      </c>
      <c r="H12" s="11"/>
      <c r="J12" s="11"/>
      <c r="K12" s="11" t="s">
        <v>281</v>
      </c>
      <c r="L12" s="93"/>
      <c r="M12" s="93"/>
      <c r="N12" s="93"/>
      <c r="O12" s="93"/>
      <c r="P12" s="70"/>
      <c r="Q12" s="11"/>
    </row>
    <row r="13" spans="1:17" x14ac:dyDescent="0.2">
      <c r="A13" s="11"/>
      <c r="B13" s="11" t="s">
        <v>282</v>
      </c>
      <c r="C13" s="93"/>
      <c r="D13" s="93"/>
      <c r="E13" s="93"/>
      <c r="F13" s="93"/>
      <c r="G13" s="70"/>
      <c r="H13" s="11"/>
      <c r="J13" s="11"/>
      <c r="K13" s="11" t="s">
        <v>282</v>
      </c>
      <c r="L13" s="93"/>
      <c r="M13" s="93"/>
      <c r="N13" s="93"/>
      <c r="O13" s="93"/>
      <c r="P13" s="70"/>
      <c r="Q13" s="11"/>
    </row>
    <row r="14" spans="1:17" x14ac:dyDescent="0.2">
      <c r="A14" s="11"/>
      <c r="B14" s="11" t="s">
        <v>283</v>
      </c>
      <c r="C14" s="93"/>
      <c r="D14" s="93"/>
      <c r="E14" s="93"/>
      <c r="F14" s="93"/>
      <c r="G14" s="70"/>
      <c r="H14" s="11"/>
      <c r="J14" s="11"/>
      <c r="K14" s="11" t="s">
        <v>283</v>
      </c>
      <c r="L14" s="93"/>
      <c r="M14" s="93"/>
      <c r="N14" s="93"/>
      <c r="O14" s="93"/>
      <c r="P14" s="70"/>
      <c r="Q14" s="11"/>
    </row>
    <row r="15" spans="1:17" x14ac:dyDescent="0.2">
      <c r="A15" s="11"/>
      <c r="B15" s="11" t="s">
        <v>38</v>
      </c>
      <c r="C15" s="93"/>
      <c r="D15" s="93"/>
      <c r="E15" s="93"/>
      <c r="F15" s="93"/>
      <c r="G15" s="70"/>
      <c r="H15" s="11"/>
      <c r="J15" s="11"/>
      <c r="K15" s="11" t="s">
        <v>38</v>
      </c>
      <c r="L15" s="93"/>
      <c r="M15" s="93"/>
      <c r="N15" s="93"/>
      <c r="O15" s="93"/>
      <c r="P15" s="70"/>
      <c r="Q15" s="11"/>
    </row>
    <row r="16" spans="1:17" x14ac:dyDescent="0.2">
      <c r="A16" s="11"/>
      <c r="B16" s="11" t="s">
        <v>284</v>
      </c>
      <c r="C16" s="93"/>
      <c r="D16" s="93"/>
      <c r="E16" s="93"/>
      <c r="F16" s="93"/>
      <c r="G16" s="70"/>
      <c r="H16" s="11"/>
      <c r="J16" s="11"/>
      <c r="K16" s="11" t="s">
        <v>284</v>
      </c>
      <c r="L16" s="93"/>
      <c r="M16" s="93"/>
      <c r="N16" s="93"/>
      <c r="O16" s="93"/>
      <c r="P16" s="70"/>
      <c r="Q16" s="11"/>
    </row>
    <row r="17" spans="1:17" x14ac:dyDescent="0.2">
      <c r="A17" s="11"/>
      <c r="B17" s="11" t="s">
        <v>285</v>
      </c>
      <c r="C17" s="93"/>
      <c r="D17" s="93"/>
      <c r="E17" s="93"/>
      <c r="F17" s="93"/>
      <c r="G17" s="70"/>
      <c r="H17" s="11"/>
      <c r="J17" s="11"/>
      <c r="K17" s="11" t="s">
        <v>285</v>
      </c>
      <c r="L17" s="93"/>
      <c r="M17" s="93"/>
      <c r="N17" s="93"/>
      <c r="O17" s="93"/>
      <c r="P17" s="70"/>
      <c r="Q17" s="11"/>
    </row>
    <row r="18" spans="1:17" x14ac:dyDescent="0.2">
      <c r="A18" s="91" t="s">
        <v>279</v>
      </c>
      <c r="B18" s="11" t="s">
        <v>286</v>
      </c>
      <c r="C18" s="93">
        <f>'3) Votre résultat'!C18</f>
        <v>0.31398500000000001</v>
      </c>
      <c r="D18" s="93">
        <f>'3) Votre résultat'!D18</f>
        <v>0.26704487500000001</v>
      </c>
      <c r="E18" s="93">
        <f>'3) Votre résultat'!E18</f>
        <v>0.39713937500000007</v>
      </c>
      <c r="F18" s="93">
        <f>'3) Votre résultat'!F18</f>
        <v>0.39713937500000007</v>
      </c>
      <c r="G18" s="70">
        <f>'3) Votre résultat'!G18</f>
        <v>0</v>
      </c>
      <c r="H18" s="132">
        <f>SUM(C18:G18)</f>
        <v>1.3753086250000002</v>
      </c>
      <c r="J18" s="91" t="s">
        <v>279</v>
      </c>
      <c r="K18" s="11" t="s">
        <v>287</v>
      </c>
      <c r="L18" s="93">
        <f>'3) Votre résultat'!K18</f>
        <v>0.31398500000000001</v>
      </c>
      <c r="M18" s="93">
        <f>'3) Votre résultat'!L18</f>
        <v>0.26704487500000001</v>
      </c>
      <c r="N18" s="93">
        <f>'3) Votre résultat'!M18</f>
        <v>0.39713937500000007</v>
      </c>
      <c r="O18" s="93">
        <f>'3) Votre résultat'!N18</f>
        <v>0.39713937500000007</v>
      </c>
      <c r="P18" s="70">
        <f>'3) Votre résultat'!O18</f>
        <v>0</v>
      </c>
      <c r="Q18" s="132">
        <f>SUM(L18:P18)</f>
        <v>1.3753086250000002</v>
      </c>
    </row>
    <row r="19" spans="1:17" x14ac:dyDescent="0.2">
      <c r="A19" s="11"/>
      <c r="B19" s="11" t="s">
        <v>288</v>
      </c>
      <c r="C19" s="70">
        <f>SUM(C6:C18)*0.15</f>
        <v>0.22115963930769231</v>
      </c>
      <c r="D19" s="70">
        <f>SUM(D6:D18)*0.15</f>
        <v>0.21808855805769231</v>
      </c>
      <c r="E19" s="70">
        <f>SUM(E6:E18)*0.15</f>
        <v>0.36186946551923072</v>
      </c>
      <c r="F19" s="70">
        <f>SUM(F6:F18)*0.15</f>
        <v>0.54442039951923071</v>
      </c>
      <c r="G19" s="70">
        <f>SUM(G6:G18)*0.15</f>
        <v>0</v>
      </c>
      <c r="H19" s="132">
        <f>SUM(C19:G19)</f>
        <v>1.345538062403846</v>
      </c>
      <c r="J19" s="11"/>
      <c r="K19" s="11" t="s">
        <v>288</v>
      </c>
      <c r="L19" s="70">
        <f>SUM(L6:L18)*0.15</f>
        <v>0.22115963930769231</v>
      </c>
      <c r="M19" s="70">
        <f>SUM(M6:M18)*0.15</f>
        <v>0.21808855805769231</v>
      </c>
      <c r="N19" s="70">
        <f>SUM(N6:N18)*0.15</f>
        <v>0.36186946551923072</v>
      </c>
      <c r="O19" s="70">
        <f>SUM(O6:O18)*0.15</f>
        <v>0.54442039951923071</v>
      </c>
      <c r="P19" s="70">
        <f>SUM(P6:P18)*0.15</f>
        <v>0</v>
      </c>
      <c r="Q19" s="132">
        <f>SUM(L19:P19)</f>
        <v>1.345538062403846</v>
      </c>
    </row>
    <row r="20" spans="1:17" x14ac:dyDescent="0.2">
      <c r="A20" s="192" t="s">
        <v>289</v>
      </c>
      <c r="B20" s="192"/>
      <c r="C20" s="94">
        <f>(SUM(C6:C19))</f>
        <v>1.6955572346923076</v>
      </c>
      <c r="D20" s="94">
        <f>SUM(D6:D19)</f>
        <v>1.6720122784423077</v>
      </c>
      <c r="E20" s="94">
        <f>SUM(E6:E19)</f>
        <v>2.774332568980769</v>
      </c>
      <c r="F20" s="94">
        <f>SUM(F6:F19)</f>
        <v>4.1738897296474358</v>
      </c>
      <c r="G20" s="94">
        <f>SUM(G6:G10)+G18+G19</f>
        <v>0</v>
      </c>
      <c r="H20" s="11"/>
      <c r="J20" s="192" t="s">
        <v>289</v>
      </c>
      <c r="K20" s="192"/>
      <c r="L20" s="94">
        <f>(SUM(L6:L19))</f>
        <v>1.6955572346923076</v>
      </c>
      <c r="M20" s="94">
        <f>SUM(M6:M19)</f>
        <v>1.6720122784423077</v>
      </c>
      <c r="N20" s="94">
        <f>SUM(N6:N19)</f>
        <v>2.774332568980769</v>
      </c>
      <c r="O20" s="94">
        <f>SUM(O6:O19)</f>
        <v>4.1738897296474358</v>
      </c>
      <c r="P20" s="94">
        <f>SUM(P6:P19)</f>
        <v>0</v>
      </c>
      <c r="Q20" s="11"/>
    </row>
    <row r="23" spans="1:17" x14ac:dyDescent="0.2">
      <c r="A23" s="134" t="s">
        <v>386</v>
      </c>
      <c r="B23" s="134" t="s">
        <v>387</v>
      </c>
      <c r="C23" s="134"/>
      <c r="D23" s="134"/>
      <c r="E23" s="134"/>
      <c r="F23" s="134"/>
      <c r="G23" s="134"/>
      <c r="H23" s="134"/>
      <c r="J23" s="134" t="s">
        <v>386</v>
      </c>
      <c r="K23" s="134" t="s">
        <v>388</v>
      </c>
      <c r="L23" s="134"/>
      <c r="M23" s="134"/>
      <c r="N23" s="134"/>
      <c r="O23" s="134"/>
      <c r="P23" s="134"/>
      <c r="Q23" s="134"/>
    </row>
    <row r="25" spans="1:17" x14ac:dyDescent="0.2">
      <c r="A25" s="11"/>
      <c r="B25" s="81" t="s">
        <v>389</v>
      </c>
      <c r="C25" s="135" t="s">
        <v>390</v>
      </c>
      <c r="J25" s="11"/>
      <c r="K25" s="81" t="s">
        <v>389</v>
      </c>
      <c r="L25" s="135" t="s">
        <v>390</v>
      </c>
    </row>
    <row r="26" spans="1:17" x14ac:dyDescent="0.2">
      <c r="A26" s="11" t="s">
        <v>30</v>
      </c>
      <c r="B26" s="132">
        <f>H6</f>
        <v>0.8631091500000001</v>
      </c>
      <c r="C26" s="136">
        <f>B26/B29</f>
        <v>7.4014641495739261E-2</v>
      </c>
      <c r="J26" s="11" t="s">
        <v>30</v>
      </c>
      <c r="K26" s="132">
        <f>Q6</f>
        <v>0.8631091500000001</v>
      </c>
      <c r="L26" s="136">
        <f>K26/K29</f>
        <v>7.4014641495739261E-2</v>
      </c>
    </row>
    <row r="27" spans="1:17" x14ac:dyDescent="0.2">
      <c r="A27" s="11" t="s">
        <v>391</v>
      </c>
      <c r="B27" s="132">
        <f>H11+H19</f>
        <v>9.4229120991666662</v>
      </c>
      <c r="C27" s="136">
        <f>B27/B29</f>
        <v>0.80804781280059956</v>
      </c>
      <c r="J27" s="11" t="s">
        <v>391</v>
      </c>
      <c r="K27" s="132">
        <f>Q11+Q19</f>
        <v>9.4229120991666662</v>
      </c>
      <c r="L27" s="136">
        <f>K27/K29</f>
        <v>0.80804781280059956</v>
      </c>
    </row>
    <row r="28" spans="1:17" x14ac:dyDescent="0.2">
      <c r="A28" s="11" t="s">
        <v>279</v>
      </c>
      <c r="B28" s="132">
        <f>H18</f>
        <v>1.3753086250000002</v>
      </c>
      <c r="C28" s="136">
        <f>B28/B29</f>
        <v>0.11793754570366113</v>
      </c>
      <c r="J28" s="11" t="s">
        <v>279</v>
      </c>
      <c r="K28" s="132">
        <f>Q18</f>
        <v>1.3753086250000002</v>
      </c>
      <c r="L28" s="136">
        <f>K28/K29</f>
        <v>0.11793754570366113</v>
      </c>
    </row>
    <row r="29" spans="1:17" x14ac:dyDescent="0.2">
      <c r="A29" s="11" t="s">
        <v>383</v>
      </c>
      <c r="B29" s="132">
        <f>SUM(B26:B28)</f>
        <v>11.661329874166666</v>
      </c>
      <c r="C29" s="136">
        <f>SUM(C26:C28)</f>
        <v>0.99999999999999989</v>
      </c>
      <c r="J29" s="11" t="s">
        <v>383</v>
      </c>
      <c r="K29" s="132">
        <f>SUM(K26:K28)</f>
        <v>11.661329874166666</v>
      </c>
      <c r="L29" s="136">
        <f>SUM(L26:L28)</f>
        <v>0.99999999999999989</v>
      </c>
    </row>
    <row r="31" spans="1:17" x14ac:dyDescent="0.2">
      <c r="A31" s="134" t="s">
        <v>392</v>
      </c>
      <c r="B31" s="134" t="s">
        <v>393</v>
      </c>
      <c r="C31" s="134"/>
      <c r="D31" s="134"/>
      <c r="E31" s="134"/>
      <c r="F31" s="134"/>
      <c r="G31" s="134"/>
      <c r="H31" s="134"/>
      <c r="J31" s="134" t="s">
        <v>392</v>
      </c>
      <c r="K31" s="134" t="s">
        <v>394</v>
      </c>
      <c r="L31" s="134"/>
      <c r="M31" s="134"/>
      <c r="N31" s="134"/>
      <c r="O31" s="134"/>
      <c r="P31" s="134"/>
      <c r="Q31" s="134"/>
    </row>
    <row r="33" spans="1:12" x14ac:dyDescent="0.2">
      <c r="A33" s="11"/>
      <c r="B33" s="81" t="s">
        <v>389</v>
      </c>
      <c r="C33" s="135" t="s">
        <v>390</v>
      </c>
      <c r="J33" s="11"/>
      <c r="K33" s="81" t="s">
        <v>389</v>
      </c>
      <c r="L33" s="135" t="s">
        <v>390</v>
      </c>
    </row>
    <row r="34" spans="1:12" x14ac:dyDescent="0.2">
      <c r="A34" s="11" t="s">
        <v>395</v>
      </c>
      <c r="B34" s="137">
        <f>H7</f>
        <v>3.331093474358974</v>
      </c>
      <c r="C34" s="138">
        <f>B34/B38</f>
        <v>0.41239807135314749</v>
      </c>
      <c r="J34" s="11" t="s">
        <v>395</v>
      </c>
      <c r="K34" s="137">
        <f>Q7</f>
        <v>3.331093474358974</v>
      </c>
      <c r="L34" s="138">
        <f>K34/K38</f>
        <v>0.41239807135314749</v>
      </c>
    </row>
    <row r="35" spans="1:12" x14ac:dyDescent="0.2">
      <c r="A35" s="11" t="s">
        <v>69</v>
      </c>
      <c r="B35" s="132">
        <f>H8+H9</f>
        <v>1.7412924999999997</v>
      </c>
      <c r="C35" s="136">
        <f>B35/B38</f>
        <v>0.21557655892556141</v>
      </c>
      <c r="J35" s="11" t="s">
        <v>69</v>
      </c>
      <c r="K35" s="132">
        <f>Q8+Q9</f>
        <v>1.7412924999999997</v>
      </c>
      <c r="L35" s="136">
        <f>K35/K38</f>
        <v>0.21557655892556141</v>
      </c>
    </row>
    <row r="36" spans="1:12" x14ac:dyDescent="0.2">
      <c r="A36" s="11" t="s">
        <v>44</v>
      </c>
      <c r="B36" s="132">
        <f>H10</f>
        <v>1.6594499999999999</v>
      </c>
      <c r="C36" s="136">
        <f>B36/B38</f>
        <v>0.20544424369198333</v>
      </c>
      <c r="J36" s="11" t="s">
        <v>44</v>
      </c>
      <c r="K36" s="132">
        <f>Q10</f>
        <v>1.6594499999999999</v>
      </c>
      <c r="L36" s="136">
        <f>K36/K38</f>
        <v>0.20544424369198333</v>
      </c>
    </row>
    <row r="37" spans="1:12" x14ac:dyDescent="0.2">
      <c r="A37" s="11" t="s">
        <v>396</v>
      </c>
      <c r="B37" s="132">
        <f>H19</f>
        <v>1.345538062403846</v>
      </c>
      <c r="C37" s="136">
        <f>B37/B38</f>
        <v>0.1665811260293078</v>
      </c>
      <c r="J37" s="11" t="s">
        <v>396</v>
      </c>
      <c r="K37" s="132">
        <f>Q19</f>
        <v>1.345538062403846</v>
      </c>
      <c r="L37" s="136">
        <f>K37/K38</f>
        <v>0.1665811260293078</v>
      </c>
    </row>
    <row r="38" spans="1:12" x14ac:dyDescent="0.2">
      <c r="A38" s="11" t="s">
        <v>383</v>
      </c>
      <c r="B38" s="132">
        <f>SUM(B34:B37)</f>
        <v>8.0773740367628193</v>
      </c>
      <c r="C38" s="136">
        <f>SUM(C34:C37)</f>
        <v>1</v>
      </c>
      <c r="J38" s="11" t="s">
        <v>383</v>
      </c>
      <c r="K38" s="132">
        <f>SUM(K34:K37)</f>
        <v>8.0773740367628193</v>
      </c>
      <c r="L38" s="136">
        <f>SUM(L34:L37)</f>
        <v>1</v>
      </c>
    </row>
  </sheetData>
  <mergeCells count="3">
    <mergeCell ref="A1:Q1"/>
    <mergeCell ref="A20:B20"/>
    <mergeCell ref="J20:K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Explications</vt:lpstr>
      <vt:lpstr>1) Feuille d'encodage</vt:lpstr>
      <vt:lpstr>Moyennes et calculs</vt:lpstr>
      <vt:lpstr>2) Tableau des prix</vt:lpstr>
      <vt:lpstr>Tableau des prix et fréquences</vt:lpstr>
      <vt:lpstr>3) Votre résultat</vt:lpstr>
      <vt:lpstr>4) Synthèse</vt:lpstr>
      <vt:lpstr>Graphes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Szandra Gonzalez</dc:creator>
  <cp:lastModifiedBy>Szandra Gonzalez</cp:lastModifiedBy>
  <dcterms:created xsi:type="dcterms:W3CDTF">2023-02-07T14:16:22Z</dcterms:created>
  <dcterms:modified xsi:type="dcterms:W3CDTF">2023-02-15T21:30:59Z</dcterms:modified>
</cp:coreProperties>
</file>